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mc:AlternateContent xmlns:mc="http://schemas.openxmlformats.org/markup-compatibility/2006">
    <mc:Choice Requires="x15">
      <x15ac:absPath xmlns:x15ac="http://schemas.microsoft.com/office/spreadsheetml/2010/11/ac" url="C:\Users\Administrator\Desktop\2025年发题文件10.11(1)\"/>
    </mc:Choice>
  </mc:AlternateContent>
  <xr:revisionPtr revIDLastSave="0" documentId="13_ncr:1_{C94F083C-9EAB-42B1-AB6C-E84EC4F710E4}" xr6:coauthVersionLast="47" xr6:coauthVersionMax="47" xr10:uidLastSave="{00000000-0000-0000-0000-000000000000}"/>
  <bookViews>
    <workbookView xWindow="-120" yWindow="-120" windowWidth="29040" windowHeight="15840" tabRatio="738" activeTab="2" xr2:uid="{00000000-000D-0000-FFFF-FFFF00000000}"/>
  </bookViews>
  <sheets>
    <sheet name="Ｐ－Ｑ图分析" sheetId="1" r:id="rId1"/>
    <sheet name="压铸机、合金参考资料" sheetId="2" r:id="rId2"/>
    <sheet name="学习资料" sheetId="5" r:id="rId3"/>
  </sheets>
  <definedNames>
    <definedName name="L垂直">#REF!</definedName>
    <definedName name="L水平">#REF!</definedName>
    <definedName name="_xlnm.Print_Area" localSheetId="0">'Ｐ－Ｑ图分析'!$B$1:$J$85</definedName>
    <definedName name="_xlnm.Print_Area" localSheetId="1">'压铸机、合金参考资料'!$A$1:$T$19</definedName>
    <definedName name="P增压">#REF!</definedName>
    <definedName name="工作点充型流量">'Ｐ－Ｑ图分析'!$C$55</definedName>
    <definedName name="工作点充型时间">'Ｐ－Ｑ图分析'!$C$54</definedName>
    <definedName name="工作点充型速度">'Ｐ－Ｑ图分析'!$C$53</definedName>
    <definedName name="工作点充型压力">'Ｐ－Ｑ图分析'!$C$56</definedName>
    <definedName name="浇道长度">#REF!</definedName>
    <definedName name="浇口厚度">'Ｐ－Ｑ图分析'!$C$35</definedName>
    <definedName name="浇口宽度_单腔">'Ｐ－Ｑ图分析'!$C$36</definedName>
    <definedName name="浇口面积_实际">'Ｐ－Ｑ图分析'!$C$38</definedName>
    <definedName name="浇口面积_有效">'Ｐ－Ｑ图分析'!$C$39</definedName>
    <definedName name="浇口系数">'Ｐ－Ｑ图分析'!$C$40</definedName>
    <definedName name="浇口形状">#REF!</definedName>
    <definedName name="浇注体积">'Ｐ－Ｑ图分析'!$C$26</definedName>
    <definedName name="浇注重量">'Ｐ－Ｑ图分析'!$C$25</definedName>
    <definedName name="流动角">'Ｐ－Ｑ图分析'!$C$37</definedName>
    <definedName name="流量系数">'Ｐ－Ｑ图分析'!$I$22</definedName>
    <definedName name="名义冲头面积">'Ｐ－Ｑ图分析'!$F$27</definedName>
    <definedName name="名义冲头直径">'Ｐ－Ｑ图分析'!$F$19</definedName>
    <definedName name="名义快压蓄能器压力">'Ｐ－Ｑ图分析'!$F$21</definedName>
    <definedName name="名义最大冲头速度">'Ｐ－Ｑ图分析'!$F$23</definedName>
    <definedName name="名义最大充型流量">'Ｐ－Ｑ图分析'!$F$24</definedName>
    <definedName name="名义最大充型压力">'Ｐ－Ｑ图分析'!$F$22</definedName>
    <definedName name="那交口厚度">#REF!</definedName>
    <definedName name="那交口宽度">#REF!</definedName>
    <definedName name="设定冲头面积">'Ｐ－Ｑ图分析'!$F$32</definedName>
    <definedName name="设定冲头直径">'Ｐ－Ｑ图分析'!$F$31</definedName>
    <definedName name="设定空压射冲头速度">'Ｐ－Ｑ图分析'!$F$43</definedName>
    <definedName name="设定空压射充型流量">'Ｐ－Ｑ图分析'!$F$42</definedName>
    <definedName name="设定快压蓄能器压力">'Ｐ－Ｑ图分析'!$F$33</definedName>
    <definedName name="设定增压压力">'Ｐ－Ｑ图分析'!$F$35</definedName>
    <definedName name="设定最大充型压力">'Ｐ－Ｑ图分析'!$F$34</definedName>
    <definedName name="设置压射速度">'Ｐ－Ｑ图分析'!$F$44</definedName>
    <definedName name="所需增压比压">'Ｐ－Ｑ图分析'!$C$30</definedName>
    <definedName name="填充体积">'Ｐ－Ｑ图分析'!$C$24</definedName>
    <definedName name="填充重量">'Ｐ－Ｑ图分析'!$C$23</definedName>
    <definedName name="型腔精度">#REF!</definedName>
    <definedName name="型腔精度值">#REF!</definedName>
    <definedName name="型腔收缩率">#REF!</definedName>
    <definedName name="型腔数量">'Ｐ－Ｑ图分析'!$C$22</definedName>
    <definedName name="型芯精度">#REF!</definedName>
    <definedName name="型芯收缩率">#REF!</definedName>
    <definedName name="压射缸直径">'Ｐ－Ｑ图分析'!$F$20</definedName>
    <definedName name="压射功率">'Ｐ－Ｑ图分析'!$C$71</definedName>
    <definedName name="压射活塞面积">'Ｐ－Ｑ图分析'!$F$28</definedName>
    <definedName name="压室充满度">'Ｐ－Ｑ图分析'!$F$36</definedName>
    <definedName name="压室长度">'Ｐ－Ｑ图分析'!$F$26</definedName>
    <definedName name="液体密度">'Ｐ－Ｑ图分析'!$I$20</definedName>
    <definedName name="已用功率百分比">'Ｐ－Ｑ图分析'!$C$73</definedName>
    <definedName name="中心距精度">#REF!</definedName>
    <definedName name="中心距收缩率">#REF!</definedName>
    <definedName name="锥度比">#REF!</definedName>
    <definedName name="最大功率">'Ｐ－Ｑ图分析'!$C$72</definedName>
    <definedName name="最大期望充型时间">'Ｐ－Ｑ图分析'!$C$46</definedName>
    <definedName name="最大期望充型速度">'Ｐ－Ｑ图分析'!$C$44</definedName>
    <definedName name="最大期望充型压力">'Ｐ－Ｑ图分析'!$C$51</definedName>
    <definedName name="最大期望填充流量">'Ｐ－Ｑ图分析'!$C$49</definedName>
    <definedName name="最大增压压力">'Ｐ－Ｑ图分析'!$F$25</definedName>
    <definedName name="最小期望充型时间">'Ｐ－Ｑ图分析'!$C$48</definedName>
    <definedName name="最小期望充型速度">'Ｐ－Ｑ图分析'!$C$45</definedName>
    <definedName name="最小期望充型压力">'Ｐ－Ｑ图分析'!$C$52</definedName>
    <definedName name="最小期望填充流量">'Ｐ－Ｑ图分析'!$C$50</definedName>
  </definedNames>
  <calcPr calcId="191029"/>
</workbook>
</file>

<file path=xl/calcChain.xml><?xml version="1.0" encoding="utf-8"?>
<calcChain xmlns="http://schemas.openxmlformats.org/spreadsheetml/2006/main">
  <c r="P96" i="1" l="1"/>
  <c r="P83" i="1"/>
  <c r="P77" i="1"/>
  <c r="P74" i="1"/>
  <c r="C74" i="1"/>
  <c r="D67" i="1"/>
  <c r="D66" i="1"/>
  <c r="D68" i="1" s="1"/>
  <c r="P60" i="1"/>
  <c r="P58" i="1"/>
  <c r="C52" i="1"/>
  <c r="C47" i="1"/>
  <c r="C46" i="1"/>
  <c r="C48" i="1" s="1"/>
  <c r="F45" i="1"/>
  <c r="C45" i="1"/>
  <c r="C44" i="1"/>
  <c r="C51" i="1" s="1"/>
  <c r="P105" i="1" s="1"/>
  <c r="F43" i="1"/>
  <c r="F42" i="1"/>
  <c r="C40" i="1"/>
  <c r="C38" i="1"/>
  <c r="F35" i="1"/>
  <c r="F34" i="1"/>
  <c r="F32" i="1"/>
  <c r="F28" i="1"/>
  <c r="F27" i="1"/>
  <c r="F24" i="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C23" i="1"/>
  <c r="C20" i="1"/>
  <c r="O96" i="1" l="1"/>
  <c r="Q99" i="1"/>
  <c r="Q87" i="1"/>
  <c r="Q62" i="1"/>
  <c r="Q78" i="1"/>
  <c r="Q74" i="1"/>
  <c r="Q71" i="1"/>
  <c r="Q92" i="1"/>
  <c r="Q100" i="1"/>
  <c r="Q88" i="1"/>
  <c r="Q63" i="1"/>
  <c r="Q77" i="1"/>
  <c r="Q72" i="1"/>
  <c r="Q69" i="1"/>
  <c r="Q55" i="1"/>
  <c r="Q101" i="1"/>
  <c r="Q89" i="1"/>
  <c r="Q64" i="1"/>
  <c r="Q75" i="1"/>
  <c r="Q102" i="1"/>
  <c r="Q90" i="1"/>
  <c r="Q68" i="1"/>
  <c r="Q67" i="1"/>
  <c r="Q66" i="1"/>
  <c r="Q65" i="1"/>
  <c r="Q103" i="1"/>
  <c r="Q91" i="1"/>
  <c r="Q79" i="1"/>
  <c r="Q76" i="1"/>
  <c r="Q73" i="1"/>
  <c r="Q70" i="1"/>
  <c r="Q104" i="1"/>
  <c r="P70" i="1"/>
  <c r="O77" i="1"/>
  <c r="O83" i="1"/>
  <c r="P85" i="1"/>
  <c r="Q98" i="1"/>
  <c r="O97" i="1"/>
  <c r="O85" i="1"/>
  <c r="O60" i="1"/>
  <c r="C56" i="1"/>
  <c r="O64" i="1"/>
  <c r="O98" i="1"/>
  <c r="O86" i="1"/>
  <c r="O61" i="1"/>
  <c r="O99" i="1"/>
  <c r="O87" i="1"/>
  <c r="O62" i="1"/>
  <c r="O102" i="1"/>
  <c r="O100" i="1"/>
  <c r="O88" i="1"/>
  <c r="O63" i="1"/>
  <c r="O101" i="1"/>
  <c r="O89" i="1"/>
  <c r="O90" i="1"/>
  <c r="P56" i="1"/>
  <c r="O58" i="1"/>
  <c r="P72" i="1"/>
  <c r="O79" i="1"/>
  <c r="O81" i="1"/>
  <c r="Q83" i="1"/>
  <c r="O94" i="1"/>
  <c r="Q96" i="1"/>
  <c r="O103" i="1"/>
  <c r="O56" i="1"/>
  <c r="O72" i="1"/>
  <c r="Q56" i="1"/>
  <c r="O67" i="1"/>
  <c r="O74" i="1"/>
  <c r="P79" i="1"/>
  <c r="P81" i="1"/>
  <c r="P94" i="1"/>
  <c r="O65" i="1"/>
  <c r="O69" i="1"/>
  <c r="Q94" i="1"/>
  <c r="P69" i="1"/>
  <c r="O76" i="1"/>
  <c r="P92" i="1"/>
  <c r="C24" i="1"/>
  <c r="O71" i="1"/>
  <c r="P76" i="1"/>
  <c r="O84" i="1"/>
  <c r="Q86" i="1"/>
  <c r="P97" i="1"/>
  <c r="O104" i="1"/>
  <c r="Q81" i="1"/>
  <c r="C39" i="1"/>
  <c r="U55" i="1"/>
  <c r="C25" i="1"/>
  <c r="P71" i="1"/>
  <c r="O78" i="1"/>
  <c r="O82" i="1"/>
  <c r="P84" i="1"/>
  <c r="O95" i="1"/>
  <c r="Q97" i="1"/>
  <c r="P104" i="1"/>
  <c r="O57" i="1"/>
  <c r="O59" i="1"/>
  <c r="O66" i="1"/>
  <c r="O73" i="1"/>
  <c r="P78" i="1"/>
  <c r="O80" i="1"/>
  <c r="P82" i="1"/>
  <c r="Q84" i="1"/>
  <c r="P95" i="1"/>
  <c r="Q58" i="1"/>
  <c r="O92" i="1"/>
  <c r="O55" i="1"/>
  <c r="P57" i="1"/>
  <c r="P59" i="1"/>
  <c r="P73" i="1"/>
  <c r="P80" i="1"/>
  <c r="Q82" i="1"/>
  <c r="O93" i="1"/>
  <c r="Q95" i="1"/>
  <c r="O105" i="1"/>
  <c r="Q60" i="1"/>
  <c r="F22" i="1"/>
  <c r="C75" i="1" s="1"/>
  <c r="C76" i="1" s="1"/>
  <c r="P55" i="1"/>
  <c r="Q57" i="1"/>
  <c r="Q59" i="1"/>
  <c r="Q61" i="1"/>
  <c r="O68" i="1"/>
  <c r="C72" i="1"/>
  <c r="O75" i="1"/>
  <c r="Q80" i="1"/>
  <c r="P93" i="1"/>
  <c r="Q85" i="1"/>
  <c r="P98" i="1"/>
  <c r="P86" i="1"/>
  <c r="P61" i="1"/>
  <c r="P68" i="1"/>
  <c r="P99" i="1"/>
  <c r="P87" i="1"/>
  <c r="P62" i="1"/>
  <c r="W56" i="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P65" i="1"/>
  <c r="P103" i="1"/>
  <c r="P100" i="1"/>
  <c r="P88" i="1"/>
  <c r="P63" i="1"/>
  <c r="P66" i="1"/>
  <c r="P91" i="1"/>
  <c r="P101" i="1"/>
  <c r="P89" i="1"/>
  <c r="P64" i="1"/>
  <c r="P102" i="1"/>
  <c r="P90" i="1"/>
  <c r="P67" i="1"/>
  <c r="O70" i="1"/>
  <c r="P75" i="1"/>
  <c r="O91" i="1"/>
  <c r="Q93" i="1"/>
  <c r="Q105" i="1"/>
  <c r="C50" i="1" l="1"/>
  <c r="C49" i="1"/>
  <c r="F37" i="1"/>
  <c r="F38" i="1" s="1"/>
  <c r="C33" i="1"/>
  <c r="C55" i="1"/>
  <c r="C71" i="1" s="1"/>
  <c r="C73" i="1" s="1"/>
  <c r="C78" i="1"/>
  <c r="C41" i="1"/>
  <c r="T56" i="1"/>
  <c r="C70" i="1"/>
  <c r="F30" i="1"/>
  <c r="I30" i="1" s="1"/>
  <c r="F29" i="1"/>
  <c r="I29" i="1" s="1"/>
  <c r="C26" i="1"/>
  <c r="F36" i="1" s="1"/>
  <c r="N96" i="1"/>
  <c r="N84" i="1"/>
  <c r="N59" i="1"/>
  <c r="N101" i="1"/>
  <c r="N89" i="1"/>
  <c r="N97" i="1"/>
  <c r="N85" i="1"/>
  <c r="N60" i="1"/>
  <c r="N98" i="1"/>
  <c r="N86" i="1"/>
  <c r="N61" i="1"/>
  <c r="N99" i="1"/>
  <c r="N87" i="1"/>
  <c r="N62" i="1"/>
  <c r="N100" i="1"/>
  <c r="N88" i="1"/>
  <c r="N63" i="1"/>
  <c r="N83" i="1"/>
  <c r="N77" i="1"/>
  <c r="N91" i="1"/>
  <c r="N70" i="1"/>
  <c r="N102" i="1"/>
  <c r="N75" i="1"/>
  <c r="N68" i="1"/>
  <c r="N105" i="1"/>
  <c r="N93" i="1"/>
  <c r="N55" i="1"/>
  <c r="N80" i="1"/>
  <c r="N73" i="1"/>
  <c r="N66" i="1"/>
  <c r="N57" i="1"/>
  <c r="N58" i="1"/>
  <c r="N95" i="1"/>
  <c r="N82" i="1"/>
  <c r="N78" i="1"/>
  <c r="N64" i="1"/>
  <c r="N81" i="1"/>
  <c r="N104" i="1"/>
  <c r="N90" i="1"/>
  <c r="N71" i="1"/>
  <c r="N92" i="1"/>
  <c r="N69" i="1"/>
  <c r="N79" i="1"/>
  <c r="N74" i="1"/>
  <c r="N67" i="1"/>
  <c r="N103" i="1"/>
  <c r="N94" i="1"/>
  <c r="N72" i="1"/>
  <c r="N65" i="1"/>
  <c r="N56" i="1"/>
  <c r="N76" i="1"/>
  <c r="T57" i="1" l="1"/>
  <c r="U56" i="1"/>
  <c r="C53" i="1"/>
  <c r="C77" i="1"/>
  <c r="C54" i="1"/>
  <c r="F40" i="1"/>
  <c r="F39" i="1"/>
  <c r="F41" i="1"/>
  <c r="R100" i="1"/>
  <c r="R88" i="1"/>
  <c r="R63" i="1"/>
  <c r="R105" i="1"/>
  <c r="R81" i="1"/>
  <c r="R101" i="1"/>
  <c r="R89" i="1"/>
  <c r="R64" i="1"/>
  <c r="R92" i="1"/>
  <c r="R102" i="1"/>
  <c r="R90" i="1"/>
  <c r="R68" i="1"/>
  <c r="R67" i="1"/>
  <c r="R66" i="1"/>
  <c r="R65" i="1"/>
  <c r="V56" i="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V103" i="1" s="1"/>
  <c r="V104" i="1" s="1"/>
  <c r="V105" i="1" s="1"/>
  <c r="R103" i="1"/>
  <c r="R91" i="1"/>
  <c r="R79" i="1"/>
  <c r="R78" i="1"/>
  <c r="R77" i="1"/>
  <c r="R76" i="1"/>
  <c r="R75" i="1"/>
  <c r="R74" i="1"/>
  <c r="R73" i="1"/>
  <c r="R72" i="1"/>
  <c r="R71" i="1"/>
  <c r="R70" i="1"/>
  <c r="R69" i="1"/>
  <c r="R55" i="1"/>
  <c r="R104" i="1"/>
  <c r="R80" i="1"/>
  <c r="R93" i="1"/>
  <c r="R61" i="1"/>
  <c r="R59" i="1"/>
  <c r="R57" i="1"/>
  <c r="R95" i="1"/>
  <c r="R82" i="1"/>
  <c r="R62" i="1"/>
  <c r="R84" i="1"/>
  <c r="R60" i="1"/>
  <c r="R97" i="1"/>
  <c r="R86" i="1"/>
  <c r="R56" i="1"/>
  <c r="R99" i="1"/>
  <c r="R94" i="1"/>
  <c r="R58" i="1"/>
  <c r="R96" i="1"/>
  <c r="R83" i="1"/>
  <c r="R85" i="1"/>
  <c r="R98" i="1"/>
  <c r="R87" i="1"/>
  <c r="S101" i="1"/>
  <c r="S89" i="1"/>
  <c r="S64" i="1"/>
  <c r="S82" i="1"/>
  <c r="S102" i="1"/>
  <c r="S90" i="1"/>
  <c r="S68" i="1"/>
  <c r="S67" i="1"/>
  <c r="S66" i="1"/>
  <c r="S65" i="1"/>
  <c r="S94" i="1"/>
  <c r="S103" i="1"/>
  <c r="S91" i="1"/>
  <c r="S79" i="1"/>
  <c r="S78" i="1"/>
  <c r="S77" i="1"/>
  <c r="S76" i="1"/>
  <c r="S75" i="1"/>
  <c r="S74" i="1"/>
  <c r="S73" i="1"/>
  <c r="S72" i="1"/>
  <c r="S71" i="1"/>
  <c r="S70" i="1"/>
  <c r="S69" i="1"/>
  <c r="S55" i="1"/>
  <c r="S104" i="1"/>
  <c r="S92" i="1"/>
  <c r="S80" i="1"/>
  <c r="S105" i="1"/>
  <c r="S93" i="1"/>
  <c r="S81" i="1"/>
  <c r="S100" i="1"/>
  <c r="S95" i="1"/>
  <c r="S83" i="1"/>
  <c r="S84" i="1"/>
  <c r="S96" i="1"/>
  <c r="S97" i="1"/>
  <c r="S86" i="1"/>
  <c r="S99" i="1"/>
  <c r="S88" i="1"/>
  <c r="S62" i="1"/>
  <c r="S60" i="1"/>
  <c r="S58" i="1"/>
  <c r="S56" i="1"/>
  <c r="S87" i="1"/>
  <c r="S85" i="1"/>
  <c r="S98" i="1"/>
  <c r="S63" i="1"/>
  <c r="S61" i="1"/>
  <c r="S59" i="1"/>
  <c r="S57" i="1"/>
  <c r="C79" i="1" l="1"/>
  <c r="C57" i="1"/>
  <c r="U57" i="1"/>
  <c r="T58" i="1"/>
  <c r="U58" i="1" l="1"/>
  <c r="T59" i="1"/>
  <c r="T60" i="1" l="1"/>
  <c r="U59" i="1"/>
  <c r="U60" i="1" l="1"/>
  <c r="T61" i="1"/>
  <c r="T62" i="1" l="1"/>
  <c r="U61" i="1"/>
  <c r="U62" i="1" l="1"/>
  <c r="T63" i="1"/>
  <c r="T64" i="1" l="1"/>
  <c r="U63" i="1"/>
  <c r="T65" i="1" l="1"/>
  <c r="U64" i="1"/>
  <c r="T66" i="1" l="1"/>
  <c r="U65" i="1"/>
  <c r="T67" i="1" l="1"/>
  <c r="U66" i="1"/>
  <c r="T68" i="1" l="1"/>
  <c r="U67" i="1"/>
  <c r="T69" i="1" l="1"/>
  <c r="U68" i="1"/>
  <c r="U69" i="1" l="1"/>
  <c r="T70" i="1"/>
  <c r="U70" i="1" l="1"/>
  <c r="T71" i="1"/>
  <c r="U71" i="1" l="1"/>
  <c r="T72" i="1"/>
  <c r="U72" i="1" l="1"/>
  <c r="T73" i="1"/>
  <c r="U73" i="1" l="1"/>
  <c r="T74" i="1"/>
  <c r="U74" i="1" l="1"/>
  <c r="T75" i="1"/>
  <c r="U75" i="1" l="1"/>
  <c r="T76" i="1"/>
  <c r="U76" i="1" l="1"/>
  <c r="T77" i="1"/>
  <c r="U77" i="1" l="1"/>
  <c r="T78" i="1"/>
  <c r="U78" i="1" l="1"/>
  <c r="T79" i="1"/>
  <c r="U79" i="1" l="1"/>
  <c r="T80" i="1"/>
  <c r="U80" i="1" l="1"/>
  <c r="T81" i="1"/>
  <c r="T82" i="1" l="1"/>
  <c r="U81" i="1"/>
  <c r="U82" i="1" l="1"/>
  <c r="T83" i="1"/>
  <c r="U83" i="1" l="1"/>
  <c r="T84" i="1"/>
  <c r="U84" i="1" l="1"/>
  <c r="T85" i="1"/>
  <c r="T86" i="1" l="1"/>
  <c r="U85" i="1"/>
  <c r="U86" i="1" l="1"/>
  <c r="T87" i="1"/>
  <c r="T88" i="1" l="1"/>
  <c r="U87" i="1"/>
  <c r="U88" i="1" l="1"/>
  <c r="T89" i="1"/>
  <c r="T90" i="1" l="1"/>
  <c r="U89" i="1"/>
  <c r="T91" i="1" l="1"/>
  <c r="U90" i="1"/>
  <c r="U91" i="1" l="1"/>
  <c r="T92" i="1"/>
  <c r="U92" i="1" l="1"/>
  <c r="T93" i="1"/>
  <c r="U93" i="1" l="1"/>
  <c r="T94" i="1"/>
  <c r="T95" i="1" l="1"/>
  <c r="U94" i="1"/>
  <c r="U95" i="1" l="1"/>
  <c r="T96" i="1"/>
  <c r="U96" i="1" l="1"/>
  <c r="T97" i="1"/>
  <c r="U97" i="1" l="1"/>
  <c r="T98" i="1"/>
  <c r="T99" i="1" l="1"/>
  <c r="U98" i="1"/>
  <c r="U99" i="1" l="1"/>
  <c r="T100" i="1"/>
  <c r="T101" i="1" l="1"/>
  <c r="U100" i="1"/>
  <c r="T102" i="1" l="1"/>
  <c r="U101" i="1"/>
  <c r="T103" i="1" l="1"/>
  <c r="U102" i="1"/>
  <c r="U103" i="1" l="1"/>
  <c r="T104" i="1"/>
  <c r="U104" i="1" l="1"/>
  <c r="T105" i="1"/>
  <c r="U10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liu</author>
    <author>zunjian.liu</author>
    <author>liuzunjian</author>
  </authors>
  <commentList>
    <comment ref="E19" authorId="0" shapeId="0" xr:uid="{00000000-0006-0000-0000-000001000000}">
      <text>
        <r>
          <rPr>
            <b/>
            <sz val="9"/>
            <rFont val="宋体"/>
            <family val="3"/>
            <charset val="134"/>
          </rPr>
          <t>liu:</t>
        </r>
        <r>
          <rPr>
            <sz val="9"/>
            <rFont val="宋体"/>
            <family val="3"/>
            <charset val="134"/>
          </rPr>
          <t xml:space="preserve">
是该压铸机推荐的，比较适合的压射冲头直径。例如400吨压铸机，可以使用的冲头直径是60、70、80，其中70的直径是压铸机设计时性能最匹配的直径。</t>
        </r>
      </text>
    </comment>
    <comment ref="E20" authorId="0" shapeId="0" xr:uid="{00000000-0006-0000-0000-000002000000}">
      <text>
        <r>
          <rPr>
            <b/>
            <sz val="9"/>
            <rFont val="宋体"/>
            <family val="3"/>
            <charset val="134"/>
          </rPr>
          <t>liu:</t>
        </r>
        <r>
          <rPr>
            <sz val="9"/>
            <rFont val="宋体"/>
            <family val="3"/>
            <charset val="134"/>
          </rPr>
          <t xml:space="preserve">
是压铸机的高速压射缸直径，由压铸机制造公司提供，或在压铸机说明书中查得。</t>
        </r>
      </text>
    </comment>
    <comment ref="H20" authorId="0" shapeId="0" xr:uid="{00000000-0006-0000-0000-000003000000}">
      <text>
        <r>
          <rPr>
            <b/>
            <sz val="9"/>
            <rFont val="宋体"/>
            <family val="3"/>
            <charset val="134"/>
          </rPr>
          <t>liu:</t>
        </r>
        <r>
          <rPr>
            <sz val="9"/>
            <rFont val="宋体"/>
            <family val="3"/>
            <charset val="134"/>
          </rPr>
          <t xml:space="preserve">
一般铝合金按2.4～2.55，锌合金按5.8～6.1，镁合金按1.78～1.81</t>
        </r>
      </text>
    </comment>
    <comment ref="E21" authorId="0" shapeId="0" xr:uid="{00000000-0006-0000-0000-000004000000}">
      <text>
        <r>
          <rPr>
            <b/>
            <sz val="9"/>
            <rFont val="宋体"/>
            <family val="3"/>
            <charset val="134"/>
          </rPr>
          <t>liu:</t>
        </r>
        <r>
          <rPr>
            <sz val="9"/>
            <rFont val="宋体"/>
            <family val="3"/>
            <charset val="134"/>
          </rPr>
          <t xml:space="preserve">
是压铸机设计的最大快压射蓄能器压力</t>
        </r>
      </text>
    </comment>
    <comment ref="H21" authorId="0" shapeId="0" xr:uid="{00000000-0006-0000-0000-000005000000}">
      <text>
        <r>
          <rPr>
            <b/>
            <sz val="9"/>
            <rFont val="宋体"/>
            <family val="3"/>
            <charset val="134"/>
          </rPr>
          <t>liu:</t>
        </r>
        <r>
          <rPr>
            <sz val="9"/>
            <rFont val="宋体"/>
            <family val="3"/>
            <charset val="134"/>
          </rPr>
          <t xml:space="preserve">
最小流动温度，是合金液在50%半固态时的温度。</t>
        </r>
      </text>
    </comment>
    <comment ref="E22" authorId="0" shapeId="0" xr:uid="{00000000-0006-0000-0000-000006000000}">
      <text>
        <r>
          <rPr>
            <b/>
            <sz val="9"/>
            <rFont val="宋体"/>
            <family val="3"/>
            <charset val="134"/>
          </rPr>
          <t>liu:</t>
        </r>
        <r>
          <rPr>
            <sz val="9"/>
            <rFont val="宋体"/>
            <family val="3"/>
            <charset val="134"/>
          </rPr>
          <t xml:space="preserve">
是压铸机设计的，高速压射时冲头推动合金液的最大充型压力。也称为高速压射比压。</t>
        </r>
      </text>
    </comment>
    <comment ref="H22" authorId="0" shapeId="0" xr:uid="{00000000-0006-0000-0000-000007000000}">
      <text>
        <r>
          <rPr>
            <b/>
            <sz val="9"/>
            <rFont val="宋体"/>
            <family val="3"/>
            <charset val="134"/>
          </rPr>
          <t>liu:</t>
        </r>
        <r>
          <rPr>
            <sz val="9"/>
            <rFont val="宋体"/>
            <family val="3"/>
            <charset val="134"/>
          </rPr>
          <t xml:space="preserve">
选择范围是0.4～0.6，根据浇注系统的阻力大小选用，阻力较大时选较小的值。</t>
        </r>
      </text>
    </comment>
    <comment ref="E23" authorId="0" shapeId="0" xr:uid="{00000000-0006-0000-0000-000008000000}">
      <text>
        <r>
          <rPr>
            <b/>
            <sz val="9"/>
            <rFont val="宋体"/>
            <family val="3"/>
            <charset val="134"/>
          </rPr>
          <t>liu:</t>
        </r>
        <r>
          <rPr>
            <sz val="9"/>
            <rFont val="宋体"/>
            <family val="3"/>
            <charset val="134"/>
          </rPr>
          <t xml:space="preserve">
是压铸机设计的最大冲头速度。是压铸机空压射时的最大压射速度，实际压铸时的速度是要小一些。</t>
        </r>
      </text>
    </comment>
    <comment ref="E29" authorId="0" shapeId="0" xr:uid="{00000000-0006-0000-0000-000009000000}">
      <text>
        <r>
          <rPr>
            <b/>
            <sz val="9"/>
            <rFont val="宋体"/>
            <family val="3"/>
            <charset val="134"/>
          </rPr>
          <t>liu:</t>
        </r>
        <r>
          <rPr>
            <sz val="9"/>
            <rFont val="宋体"/>
            <family val="3"/>
            <charset val="134"/>
          </rPr>
          <t xml:space="preserve">
25%充满度时计算的最大充头直径mm</t>
        </r>
      </text>
    </comment>
    <comment ref="E30" authorId="0" shapeId="0" xr:uid="{00000000-0006-0000-0000-00000A000000}">
      <text>
        <r>
          <rPr>
            <b/>
            <sz val="9"/>
            <rFont val="宋体"/>
            <family val="3"/>
            <charset val="134"/>
          </rPr>
          <t>liu:</t>
        </r>
        <r>
          <rPr>
            <sz val="9"/>
            <rFont val="宋体"/>
            <family val="3"/>
            <charset val="134"/>
          </rPr>
          <t xml:space="preserve">
55%充满度时计算的最小充头直径mm
</t>
        </r>
      </text>
    </comment>
    <comment ref="B33" authorId="0" shapeId="0" xr:uid="{00000000-0006-0000-0000-00000B000000}">
      <text>
        <r>
          <rPr>
            <b/>
            <sz val="9"/>
            <rFont val="宋体"/>
            <family val="3"/>
            <charset val="134"/>
          </rPr>
          <t>liu:</t>
        </r>
        <r>
          <rPr>
            <sz val="9"/>
            <rFont val="宋体"/>
            <family val="3"/>
            <charset val="134"/>
          </rPr>
          <t xml:space="preserve">
是以上铸件数据所计算得到的理论内浇口面积</t>
        </r>
      </text>
    </comment>
    <comment ref="B40" authorId="0" shapeId="0" xr:uid="{00000000-0006-0000-0000-00000C000000}">
      <text>
        <r>
          <rPr>
            <b/>
            <sz val="9"/>
            <rFont val="宋体"/>
            <family val="3"/>
            <charset val="134"/>
          </rPr>
          <t>liu:</t>
        </r>
        <r>
          <rPr>
            <sz val="9"/>
            <rFont val="宋体"/>
            <family val="3"/>
            <charset val="134"/>
          </rPr>
          <t xml:space="preserve">
浇口系数，是内浇口的截面积与内浇口周长一半的比值。是用来考虑内浇口是否容易快速凝固。</t>
        </r>
      </text>
    </comment>
    <comment ref="B41" authorId="0" shapeId="0" xr:uid="{00000000-0006-0000-0000-00000D000000}">
      <text>
        <r>
          <rPr>
            <b/>
            <sz val="9"/>
            <rFont val="宋体"/>
            <family val="3"/>
            <charset val="134"/>
          </rPr>
          <t>liu:</t>
        </r>
        <r>
          <rPr>
            <sz val="9"/>
            <rFont val="宋体"/>
            <family val="3"/>
            <charset val="134"/>
          </rPr>
          <t xml:space="preserve">
模具、压铸机可以达到的最大界限冲头速度（V界限）。模具内浇口的大小，会限制冲头速度的大小。   
            V界限＝k（S内÷S冲）P冲1/2
式中：S内、S冲—内浇口及冲头的截面积，cm2；P冲—高速压射充填时冲头压铸合金液的压射比压，Kg/cm2；k—合金液阻力系数，铝合金为550、镁合金为660、锌合金为344，密度越大阻力越大。
    模具设计时需矫验：   V界限 ＞ V冲</t>
        </r>
      </text>
    </comment>
    <comment ref="C44" authorId="1" shapeId="0" xr:uid="{00000000-0006-0000-0000-00000E000000}">
      <text>
        <r>
          <rPr>
            <b/>
            <sz val="9"/>
            <rFont val="宋体"/>
            <family val="3"/>
            <charset val="134"/>
          </rPr>
          <t>zunjian.liu:</t>
        </r>
        <r>
          <rPr>
            <sz val="9"/>
            <rFont val="宋体"/>
            <family val="3"/>
            <charset val="134"/>
          </rPr>
          <t xml:space="preserve">
这里的5个速度和时间的期望值，自己可以根据压铸件工艺的需要，单独填写。比如使用超高速压铸，充填速度可以更高，充填时间可以更短。</t>
        </r>
      </text>
    </comment>
    <comment ref="F44" authorId="2" shapeId="0" xr:uid="{00000000-0006-0000-0000-00000F000000}">
      <text>
        <r>
          <rPr>
            <b/>
            <sz val="9"/>
            <rFont val="宋体"/>
            <family val="3"/>
            <charset val="134"/>
          </rPr>
          <t>liuzunjian:</t>
        </r>
        <r>
          <rPr>
            <sz val="9"/>
            <rFont val="宋体"/>
            <family val="3"/>
            <charset val="134"/>
          </rPr>
          <t xml:space="preserve">
名义最大高速压射速度的百分之多少。
例如：65</t>
        </r>
      </text>
    </comment>
    <comment ref="B53" authorId="0" shapeId="0" xr:uid="{00000000-0006-0000-0000-000010000000}">
      <text>
        <r>
          <rPr>
            <b/>
            <sz val="9"/>
            <rFont val="宋体"/>
            <family val="3"/>
            <charset val="134"/>
          </rPr>
          <t>liu:</t>
        </r>
        <r>
          <rPr>
            <sz val="9"/>
            <rFont val="宋体"/>
            <family val="3"/>
            <charset val="134"/>
          </rPr>
          <t xml:space="preserve">
工作点是指机床线与模具线的交点，工作点的参数就是需要计算得到的参数。</t>
        </r>
      </text>
    </comment>
    <comment ref="C62" authorId="2" shapeId="0" xr:uid="{00000000-0006-0000-0000-000011000000}">
      <text>
        <r>
          <rPr>
            <b/>
            <sz val="9"/>
            <rFont val="宋体"/>
            <family val="3"/>
            <charset val="134"/>
          </rPr>
          <t>liuzunjian:</t>
        </r>
        <r>
          <rPr>
            <sz val="9"/>
            <rFont val="宋体"/>
            <family val="3"/>
            <charset val="134"/>
          </rPr>
          <t xml:space="preserve">
滑块在抽出方向的投影面积。
这里把滑块投影面积的一半，计入分型面的投影面积。</t>
        </r>
      </text>
    </comment>
    <comment ref="C67" authorId="2" shapeId="0" xr:uid="{00000000-0006-0000-0000-000012000000}">
      <text>
        <r>
          <rPr>
            <b/>
            <sz val="9"/>
            <rFont val="宋体"/>
            <family val="3"/>
            <charset val="134"/>
          </rPr>
          <t>liuzunjian:</t>
        </r>
        <r>
          <rPr>
            <sz val="9"/>
            <rFont val="宋体"/>
            <family val="3"/>
            <charset val="134"/>
          </rPr>
          <t xml:space="preserve">
增压蓄能器增压后施加给高速压射缸的油压力，推动冲头补缩运动。
是压铸在高速压射结束，又使用增压压射，高速压射缸的压力表显示的压力值。</t>
        </r>
      </text>
    </comment>
    <comment ref="C68" authorId="2" shapeId="0" xr:uid="{00000000-0006-0000-0000-000013000000}">
      <text>
        <r>
          <rPr>
            <b/>
            <sz val="9"/>
            <rFont val="宋体"/>
            <family val="3"/>
            <charset val="134"/>
          </rPr>
          <t>liuzunjian:</t>
        </r>
        <r>
          <rPr>
            <sz val="9"/>
            <rFont val="宋体"/>
            <family val="3"/>
            <charset val="134"/>
          </rPr>
          <t xml:space="preserve">
是此铸件压铸生产需要的压铸机合模力的大小，也就是压铸机吨位的大小。</t>
        </r>
      </text>
    </comment>
  </commentList>
</comments>
</file>

<file path=xl/sharedStrings.xml><?xml version="1.0" encoding="utf-8"?>
<sst xmlns="http://schemas.openxmlformats.org/spreadsheetml/2006/main" count="437" uniqueCount="321">
  <si>
    <t>说明：此表格中底色是黄色的部分，都是需要自己填写的内容、其余都是自动计算得到的值。</t>
  </si>
  <si>
    <t>压铸机及压铸模具可行性Ｐ－Ｑ图计算分析</t>
  </si>
  <si>
    <t>产品名称</t>
  </si>
  <si>
    <t>设　计</t>
  </si>
  <si>
    <t>档案编号</t>
  </si>
  <si>
    <t>产品图号</t>
  </si>
  <si>
    <t>审　核</t>
  </si>
  <si>
    <t>备　注</t>
  </si>
  <si>
    <t>客户名称</t>
  </si>
  <si>
    <t>日　期</t>
  </si>
  <si>
    <t xml:space="preserve"> </t>
  </si>
  <si>
    <t>铸件数据:</t>
  </si>
  <si>
    <t xml:space="preserve">压铸机数据:（压铸机厂家：       </t>
  </si>
  <si>
    <t>合金数据:</t>
  </si>
  <si>
    <t>估算单腔铸件重量</t>
  </si>
  <si>
    <t>g</t>
  </si>
  <si>
    <t>压铸机型号（吨位）</t>
  </si>
  <si>
    <t>吨</t>
  </si>
  <si>
    <t>合金材料名称牌号</t>
  </si>
  <si>
    <t>ADC12</t>
  </si>
  <si>
    <t>估算单腔溢流重量</t>
  </si>
  <si>
    <t>名义冲头直径</t>
  </si>
  <si>
    <t>mm</t>
  </si>
  <si>
    <t>合金材料固体密度</t>
  </si>
  <si>
    <r>
      <rPr>
        <sz val="12"/>
        <rFont val="宋体"/>
        <family val="3"/>
        <charset val="134"/>
        <scheme val="minor"/>
      </rPr>
      <t>g/cm</t>
    </r>
    <r>
      <rPr>
        <vertAlign val="superscript"/>
        <sz val="12"/>
        <rFont val="宋体"/>
        <family val="3"/>
        <charset val="134"/>
      </rPr>
      <t>3</t>
    </r>
  </si>
  <si>
    <t>单腔充填重量</t>
  </si>
  <si>
    <t>高速压射缸直径</t>
  </si>
  <si>
    <t>合金液体密度</t>
  </si>
  <si>
    <t>浇注系统总重量</t>
  </si>
  <si>
    <t>名义快压蓄能器压力</t>
  </si>
  <si>
    <r>
      <rPr>
        <sz val="12"/>
        <rFont val="宋体"/>
        <family val="3"/>
        <charset val="134"/>
        <scheme val="minor"/>
      </rPr>
      <t>Kg/cm</t>
    </r>
    <r>
      <rPr>
        <vertAlign val="superscript"/>
        <sz val="12"/>
        <rFont val="宋体"/>
        <family val="3"/>
        <charset val="134"/>
      </rPr>
      <t>2</t>
    </r>
  </si>
  <si>
    <t>最小流动温度</t>
  </si>
  <si>
    <t>℃</t>
  </si>
  <si>
    <t>型腔数量（一模几件）</t>
  </si>
  <si>
    <t>名义最大充型压力</t>
  </si>
  <si>
    <t>浇注系统流量系数</t>
  </si>
  <si>
    <t>0.4～0.6</t>
  </si>
  <si>
    <t>填充总重量</t>
  </si>
  <si>
    <t>名义最大高速压射速度</t>
  </si>
  <si>
    <t>m/sec</t>
  </si>
  <si>
    <t>模具型腔材料</t>
  </si>
  <si>
    <t>H13</t>
  </si>
  <si>
    <t>P20/H13</t>
  </si>
  <si>
    <t>填充总体积</t>
  </si>
  <si>
    <r>
      <rPr>
        <sz val="12"/>
        <rFont val="宋体"/>
        <family val="3"/>
        <charset val="134"/>
        <scheme val="minor"/>
      </rPr>
      <t>cm</t>
    </r>
    <r>
      <rPr>
        <vertAlign val="superscript"/>
        <sz val="12"/>
        <rFont val="宋体"/>
        <family val="3"/>
        <charset val="134"/>
      </rPr>
      <t>3</t>
    </r>
  </si>
  <si>
    <t>名义最大充型流量</t>
  </si>
  <si>
    <t>L/sec</t>
  </si>
  <si>
    <t>浇注重量</t>
  </si>
  <si>
    <t>高速压射缸最大增压压力</t>
  </si>
  <si>
    <t>浇注体积</t>
  </si>
  <si>
    <t>压室长度(含浇口套)</t>
  </si>
  <si>
    <t>铸件平均壁厚</t>
  </si>
  <si>
    <t>名义冲头截面积</t>
  </si>
  <si>
    <r>
      <rPr>
        <sz val="12"/>
        <rFont val="宋体"/>
        <family val="3"/>
        <charset val="134"/>
        <scheme val="minor"/>
      </rPr>
      <t>cm</t>
    </r>
    <r>
      <rPr>
        <vertAlign val="superscript"/>
        <sz val="12"/>
        <rFont val="宋体"/>
        <family val="3"/>
        <charset val="134"/>
      </rPr>
      <t>2</t>
    </r>
  </si>
  <si>
    <t>铸件最小壁厚</t>
  </si>
  <si>
    <t>高速压射活塞截面积</t>
  </si>
  <si>
    <t>浇注温度</t>
  </si>
  <si>
    <t xml:space="preserve">计算最大冲头直径 </t>
  </si>
  <si>
    <t>计算最小充填压力</t>
  </si>
  <si>
    <r>
      <rPr>
        <sz val="12"/>
        <color rgb="FF2C10FA"/>
        <rFont val="宋体"/>
        <family val="3"/>
        <charset val="134"/>
        <scheme val="minor"/>
      </rPr>
      <t xml:space="preserve">所需增压比压
</t>
    </r>
    <r>
      <rPr>
        <sz val="9"/>
        <color indexed="14"/>
        <rFont val="宋体"/>
        <family val="3"/>
        <charset val="134"/>
      </rPr>
      <t>（铸造压力，根据铸件壁厚等选定）</t>
    </r>
  </si>
  <si>
    <t>MPa</t>
  </si>
  <si>
    <t xml:space="preserve">计算最小冲头直径 </t>
  </si>
  <si>
    <t>计算最大充填压力</t>
  </si>
  <si>
    <t>实际设定冲头直径</t>
  </si>
  <si>
    <t>实际选用的模具数据：</t>
  </si>
  <si>
    <t>设定冲头面积</t>
  </si>
  <si>
    <t>经验计算的内浇口面积</t>
  </si>
  <si>
    <r>
      <rPr>
        <sz val="12"/>
        <rFont val="宋体"/>
        <family val="3"/>
        <charset val="134"/>
        <scheme val="minor"/>
      </rPr>
      <t>mm</t>
    </r>
    <r>
      <rPr>
        <vertAlign val="superscript"/>
        <sz val="12"/>
        <rFont val="宋体"/>
        <family val="3"/>
        <charset val="134"/>
      </rPr>
      <t>2</t>
    </r>
  </si>
  <si>
    <t>设定快压蓄能器压力</t>
  </si>
  <si>
    <t>模具温度</t>
  </si>
  <si>
    <t>设定最大充型压力</t>
  </si>
  <si>
    <t>单腔内浇口厚度</t>
  </si>
  <si>
    <t>设定高速缸增压压力</t>
  </si>
  <si>
    <t xml:space="preserve">单腔内浇口宽度 </t>
  </si>
  <si>
    <t>压射室充满度</t>
  </si>
  <si>
    <t>%</t>
  </si>
  <si>
    <r>
      <rPr>
        <sz val="12"/>
        <color theme="1"/>
        <rFont val="宋体"/>
        <family val="3"/>
        <charset val="134"/>
        <scheme val="minor"/>
      </rPr>
      <t>内浇口流动角</t>
    </r>
    <r>
      <rPr>
        <sz val="9"/>
        <color indexed="14"/>
        <rFont val="宋体"/>
        <family val="3"/>
        <charset val="134"/>
      </rPr>
      <t>（与铸件边沿垂直方向的夹角度数）</t>
    </r>
  </si>
  <si>
    <t>度数
degrees</t>
  </si>
  <si>
    <t>高速压射行程</t>
  </si>
  <si>
    <t>内浇口总截面积（实际）</t>
  </si>
  <si>
    <t>高速压射起点</t>
  </si>
  <si>
    <t>内浇口截面积（有效）</t>
  </si>
  <si>
    <r>
      <rPr>
        <sz val="12"/>
        <color rgb="FF0000FF"/>
        <rFont val="宋体"/>
        <family val="3"/>
        <charset val="134"/>
        <scheme val="minor"/>
      </rPr>
      <t>慢压射最高速度</t>
    </r>
    <r>
      <rPr>
        <sz val="12"/>
        <color indexed="14"/>
        <rFont val="宋体"/>
        <family val="3"/>
        <charset val="134"/>
      </rPr>
      <t xml:space="preserve">
</t>
    </r>
    <r>
      <rPr>
        <sz val="9"/>
        <color indexed="14"/>
        <rFont val="宋体"/>
        <family val="3"/>
        <charset val="134"/>
      </rPr>
      <t>慢速匀加速后的最高速度</t>
    </r>
  </si>
  <si>
    <t>浇口系数</t>
  </si>
  <si>
    <t>慢压射加速度</t>
  </si>
  <si>
    <r>
      <rPr>
        <sz val="12"/>
        <rFont val="宋体"/>
        <family val="3"/>
        <charset val="134"/>
        <scheme val="minor"/>
      </rPr>
      <t>m/sec</t>
    </r>
    <r>
      <rPr>
        <vertAlign val="superscript"/>
        <sz val="12"/>
        <rFont val="宋体"/>
        <family val="3"/>
        <charset val="134"/>
      </rPr>
      <t>2</t>
    </r>
  </si>
  <si>
    <r>
      <rPr>
        <sz val="12"/>
        <color theme="1"/>
        <rFont val="宋体"/>
        <family val="3"/>
        <charset val="134"/>
        <scheme val="minor"/>
      </rPr>
      <t>模具设计界限冲头速度</t>
    </r>
    <r>
      <rPr>
        <sz val="12"/>
        <color rgb="FF00B050"/>
        <rFont val="宋体"/>
        <family val="3"/>
        <charset val="134"/>
        <scheme val="minor"/>
      </rPr>
      <t xml:space="preserve">
</t>
    </r>
    <r>
      <rPr>
        <sz val="9"/>
        <color indexed="14"/>
        <rFont val="宋体"/>
        <family val="3"/>
        <charset val="134"/>
      </rPr>
      <t>（模具内浇口大小限制，能达到的最大压射速度）</t>
    </r>
  </si>
  <si>
    <r>
      <rPr>
        <sz val="12"/>
        <color rgb="FF2C10FA"/>
        <rFont val="宋体"/>
        <family val="3"/>
        <charset val="134"/>
        <scheme val="minor"/>
      </rPr>
      <t xml:space="preserve">恒定慢压射速度
</t>
    </r>
    <r>
      <rPr>
        <sz val="9"/>
        <color indexed="14"/>
        <rFont val="宋体"/>
        <family val="3"/>
        <charset val="134"/>
      </rPr>
      <t>只用一个慢速度</t>
    </r>
  </si>
  <si>
    <t>设定空压射充型流量</t>
  </si>
  <si>
    <t>型腔填充数据：</t>
  </si>
  <si>
    <t>设定空压射冲头速度</t>
  </si>
  <si>
    <t>最大期望内浇口充填速度</t>
  </si>
  <si>
    <r>
      <rPr>
        <sz val="12"/>
        <color rgb="FF0000FF"/>
        <rFont val="宋体"/>
        <family val="3"/>
        <charset val="134"/>
      </rPr>
      <t xml:space="preserve">设定高速压射速度
</t>
    </r>
    <r>
      <rPr>
        <sz val="9"/>
        <color indexed="14"/>
        <rFont val="宋体"/>
        <family val="3"/>
        <charset val="134"/>
      </rPr>
      <t>压铸机最高速度的百分数</t>
    </r>
  </si>
  <si>
    <t>% of max</t>
  </si>
  <si>
    <t>最小期望内浇口充填速度</t>
  </si>
  <si>
    <t>设定高速压射速度</t>
  </si>
  <si>
    <t>最大期望内浇口充填时间</t>
  </si>
  <si>
    <t>msec</t>
  </si>
  <si>
    <t>件最小壁厚需要的充填时间</t>
  </si>
  <si>
    <t>最小期望充内浇口填时间</t>
  </si>
  <si>
    <t>最大期望填充流量</t>
  </si>
  <si>
    <t>最小期望填充流量</t>
  </si>
  <si>
    <t>最大期望充填压力</t>
  </si>
  <si>
    <t>最小期望充填压力</t>
  </si>
  <si>
    <t>工作点充填速度（内浇口）</t>
  </si>
  <si>
    <r>
      <t>P-Q</t>
    </r>
    <r>
      <rPr>
        <sz val="10"/>
        <color theme="1"/>
        <rFont val="宋体"/>
        <family val="3"/>
        <charset val="134"/>
      </rPr>
      <t>数据表</t>
    </r>
  </si>
  <si>
    <t>工作点充填时间（内浇口）</t>
  </si>
  <si>
    <t>Q1</t>
  </si>
  <si>
    <r>
      <t>P</t>
    </r>
    <r>
      <rPr>
        <sz val="10"/>
        <color theme="1"/>
        <rFont val="宋体"/>
        <family val="3"/>
        <charset val="134"/>
      </rPr>
      <t>（压铸机）</t>
    </r>
  </si>
  <si>
    <r>
      <t>P(</t>
    </r>
    <r>
      <rPr>
        <sz val="10"/>
        <color theme="1"/>
        <rFont val="宋体"/>
        <family val="3"/>
        <charset val="134"/>
      </rPr>
      <t>设备设定)</t>
    </r>
  </si>
  <si>
    <t>允许最大压力</t>
  </si>
  <si>
    <t>允许最小压力</t>
  </si>
  <si>
    <t>允许最大流量</t>
  </si>
  <si>
    <t>允许最小流量</t>
  </si>
  <si>
    <t>Q2</t>
  </si>
  <si>
    <t>工艺压力</t>
  </si>
  <si>
    <t>Q3</t>
  </si>
  <si>
    <t>Q4</t>
  </si>
  <si>
    <t>工作点充填流量（内浇口）</t>
  </si>
  <si>
    <t>工作点充填压力（内浇口）</t>
  </si>
  <si>
    <t>工作点压射速度（冲头）</t>
  </si>
  <si>
    <t>投影面积</t>
  </si>
  <si>
    <r>
      <rPr>
        <sz val="11"/>
        <color theme="1"/>
        <rFont val="宋体"/>
        <family val="3"/>
        <charset val="134"/>
        <scheme val="minor"/>
      </rPr>
      <t>铸件投影面积</t>
    </r>
    <r>
      <rPr>
        <sz val="11"/>
        <rFont val="宋体"/>
        <family val="3"/>
        <charset val="134"/>
      </rPr>
      <t>(cm²)</t>
    </r>
  </si>
  <si>
    <r>
      <rPr>
        <sz val="11"/>
        <color theme="1"/>
        <rFont val="宋体"/>
        <family val="3"/>
        <charset val="134"/>
        <scheme val="minor"/>
      </rPr>
      <t>浇注系统投影面积</t>
    </r>
    <r>
      <rPr>
        <sz val="11"/>
        <rFont val="宋体"/>
        <family val="3"/>
        <charset val="134"/>
      </rPr>
      <t>(</t>
    </r>
    <r>
      <rPr>
        <sz val="11"/>
        <rFont val="宋体"/>
        <family val="3"/>
        <charset val="134"/>
      </rPr>
      <t>c</t>
    </r>
    <r>
      <rPr>
        <sz val="11"/>
        <rFont val="宋体"/>
        <family val="3"/>
        <charset val="134"/>
      </rPr>
      <t>m²)</t>
    </r>
  </si>
  <si>
    <r>
      <rPr>
        <sz val="11"/>
        <color theme="1"/>
        <rFont val="宋体"/>
        <family val="3"/>
        <charset val="134"/>
        <scheme val="minor"/>
      </rPr>
      <t>溢流槽投影</t>
    </r>
    <r>
      <rPr>
        <sz val="11"/>
        <rFont val="宋体"/>
        <family val="3"/>
        <charset val="134"/>
      </rPr>
      <t>面积(cm²)</t>
    </r>
  </si>
  <si>
    <r>
      <rPr>
        <sz val="11"/>
        <color theme="1"/>
        <rFont val="宋体"/>
        <family val="3"/>
        <charset val="134"/>
        <scheme val="minor"/>
      </rPr>
      <t>滑块</t>
    </r>
    <r>
      <rPr>
        <sz val="11"/>
        <rFont val="宋体"/>
        <family val="3"/>
        <charset val="134"/>
        <scheme val="minor"/>
      </rPr>
      <t>1</t>
    </r>
    <r>
      <rPr>
        <sz val="11"/>
        <rFont val="宋体"/>
        <family val="3"/>
        <charset val="134"/>
      </rPr>
      <t>端面积(cm²)</t>
    </r>
  </si>
  <si>
    <r>
      <rPr>
        <sz val="11"/>
        <color theme="1"/>
        <rFont val="宋体"/>
        <family val="3"/>
        <charset val="134"/>
        <scheme val="minor"/>
      </rPr>
      <t>滑块</t>
    </r>
    <r>
      <rPr>
        <sz val="11"/>
        <rFont val="宋体"/>
        <family val="3"/>
        <charset val="134"/>
        <scheme val="minor"/>
      </rPr>
      <t>2</t>
    </r>
    <r>
      <rPr>
        <sz val="11"/>
        <rFont val="宋体"/>
        <family val="3"/>
        <charset val="134"/>
      </rPr>
      <t>端面积(cm²)</t>
    </r>
  </si>
  <si>
    <r>
      <rPr>
        <sz val="11"/>
        <color theme="1"/>
        <rFont val="宋体"/>
        <family val="3"/>
        <charset val="134"/>
        <scheme val="minor"/>
      </rPr>
      <t>滑块</t>
    </r>
    <r>
      <rPr>
        <sz val="11"/>
        <rFont val="宋体"/>
        <family val="3"/>
        <charset val="134"/>
        <scheme val="minor"/>
      </rPr>
      <t>3</t>
    </r>
    <r>
      <rPr>
        <sz val="11"/>
        <rFont val="宋体"/>
        <family val="3"/>
        <charset val="134"/>
      </rPr>
      <t>端面积(cm²)</t>
    </r>
  </si>
  <si>
    <r>
      <rPr>
        <sz val="11"/>
        <color theme="1"/>
        <rFont val="宋体"/>
        <family val="3"/>
        <charset val="134"/>
        <scheme val="minor"/>
      </rPr>
      <t>滑块</t>
    </r>
    <r>
      <rPr>
        <sz val="11"/>
        <rFont val="宋体"/>
        <family val="3"/>
        <charset val="134"/>
        <scheme val="minor"/>
      </rPr>
      <t>4</t>
    </r>
    <r>
      <rPr>
        <sz val="11"/>
        <rFont val="宋体"/>
        <family val="3"/>
        <charset val="134"/>
      </rPr>
      <t>端面积(cm²)</t>
    </r>
  </si>
  <si>
    <t>合计投影面积</t>
  </si>
  <si>
    <t>锁模力，打料力计算</t>
  </si>
  <si>
    <r>
      <rPr>
        <sz val="11"/>
        <color theme="1"/>
        <rFont val="宋体"/>
        <family val="3"/>
        <charset val="134"/>
        <scheme val="minor"/>
      </rPr>
      <t>高速缸增压压力</t>
    </r>
    <r>
      <rPr>
        <sz val="11"/>
        <rFont val="宋体"/>
        <family val="3"/>
        <charset val="134"/>
      </rPr>
      <t>(Mpa)</t>
    </r>
  </si>
  <si>
    <r>
      <rPr>
        <sz val="11"/>
        <color theme="1"/>
        <rFont val="宋体"/>
        <family val="3"/>
        <charset val="134"/>
        <scheme val="minor"/>
      </rPr>
      <t>合（锁）模力</t>
    </r>
    <r>
      <rPr>
        <sz val="11"/>
        <rFont val="宋体"/>
        <family val="3"/>
        <charset val="134"/>
      </rPr>
      <t>(吨)</t>
    </r>
  </si>
  <si>
    <t xml:space="preserve">可行性评估数据:                                                                                            </t>
  </si>
  <si>
    <t>浇口面积是否满足工艺？</t>
  </si>
  <si>
    <t>YES/NO</t>
  </si>
  <si>
    <t>压射功率：</t>
  </si>
  <si>
    <t>KW</t>
  </si>
  <si>
    <t>最大功率：</t>
  </si>
  <si>
    <t>已用功率百分比</t>
  </si>
  <si>
    <t>所需增压比压（铸造压力）</t>
  </si>
  <si>
    <t>设备最大增压比压（铸造压力</t>
  </si>
  <si>
    <t>增压压力是否满足</t>
  </si>
  <si>
    <t>充型流量是否满足</t>
  </si>
  <si>
    <t>充型压力是否满足</t>
  </si>
  <si>
    <t>设备设定是否满足工艺</t>
  </si>
  <si>
    <t>备注：</t>
  </si>
  <si>
    <t>黄色框内数据需用户根据参考数据输入</t>
  </si>
  <si>
    <t>出现红框色表明数据不符合要求，需调整</t>
  </si>
  <si>
    <t>出现绿色框表明数据基本符合要求</t>
  </si>
  <si>
    <t>表5-3 根据壁厚选择内浇口速度</t>
  </si>
  <si>
    <t>表5-4  根据铸件质量选择内浇口速度</t>
  </si>
  <si>
    <t>铸件平均壁厚 d    mm</t>
  </si>
  <si>
    <t>内浇口速度 v  m/s</t>
  </si>
  <si>
    <t>铸件质量 m  g</t>
  </si>
  <si>
    <t>内浇口速度  v   m/s</t>
  </si>
  <si>
    <t>46～55</t>
  </si>
  <si>
    <t>铝合金</t>
  </si>
  <si>
    <t>锌合金</t>
  </si>
  <si>
    <t>镁合金</t>
  </si>
  <si>
    <t>铜合金</t>
  </si>
  <si>
    <t>44～53</t>
  </si>
  <si>
    <t>＜500</t>
  </si>
  <si>
    <t>20～40</t>
  </si>
  <si>
    <t>40～75</t>
  </si>
  <si>
    <t>30～40</t>
  </si>
  <si>
    <t>42～50</t>
  </si>
  <si>
    <t>500～1000</t>
  </si>
  <si>
    <t>40～48</t>
  </si>
  <si>
    <t>1000～2500</t>
  </si>
  <si>
    <t>38～46</t>
  </si>
  <si>
    <t>＞2500</t>
  </si>
  <si>
    <t>36～44</t>
  </si>
  <si>
    <t>34～42</t>
  </si>
  <si>
    <t>32～40</t>
  </si>
  <si>
    <t>表  4-22   不同压力和壁厚情况下的流速值</t>
  </si>
  <si>
    <t>30～37</t>
  </si>
  <si>
    <t>比压
Kg / cm 2</t>
  </si>
  <si>
    <t>铸件壁厚  mm</t>
  </si>
  <si>
    <t>28～35</t>
  </si>
  <si>
    <t>1～4</t>
  </si>
  <si>
    <t>4～8</t>
  </si>
  <si>
    <t>＞8</t>
  </si>
  <si>
    <t>26～33</t>
  </si>
  <si>
    <t>流速  m/s</t>
  </si>
  <si>
    <t>24～30</t>
  </si>
  <si>
    <t>＜200</t>
  </si>
  <si>
    <t xml:space="preserve">＞200～400 </t>
  </si>
  <si>
    <t>＞400～600</t>
  </si>
  <si>
    <t xml:space="preserve">表5-5 填充时间的选择范围 </t>
  </si>
  <si>
    <t>＞ 600～800</t>
  </si>
  <si>
    <t>铸件壁厚 d  mm</t>
  </si>
  <si>
    <t>充填时间 t  sec</t>
  </si>
  <si>
    <t>＞ 800～1000</t>
  </si>
  <si>
    <t>0.010～0.022</t>
  </si>
  <si>
    <t xml:space="preserve">＞ 1000 </t>
  </si>
  <si>
    <t>0.015～0.032</t>
  </si>
  <si>
    <t xml:space="preserve">                                                                                                                                                                                                                                                                                                                                                                                                                                                              </t>
  </si>
  <si>
    <t>0.022～0.045</t>
  </si>
  <si>
    <t>0.027～0.058</t>
  </si>
  <si>
    <t>0.032～0.072</t>
  </si>
  <si>
    <t>0.038～0.088</t>
  </si>
  <si>
    <t>0.045～0.105</t>
  </si>
  <si>
    <t>0.052～0.122</t>
  </si>
  <si>
    <t>0.060～0.140</t>
  </si>
  <si>
    <t>0.070～0.160</t>
  </si>
  <si>
    <t>0.086～0.220</t>
  </si>
  <si>
    <t>0.096～0.260</t>
  </si>
  <si>
    <t>0.108～0.300</t>
  </si>
  <si>
    <t>0.120～0.350</t>
  </si>
  <si>
    <t>内浇口速度和充填时间选用推荐值（刘遵建）</t>
  </si>
  <si>
    <t>铸件平均壁厚mm ±0.25</t>
  </si>
  <si>
    <t>内浇口速度m/s</t>
  </si>
  <si>
    <t>充填时间  sec</t>
  </si>
  <si>
    <t>最小值</t>
  </si>
  <si>
    <t>～0.8</t>
  </si>
  <si>
    <t>50～60</t>
  </si>
  <si>
    <t>0.08～0.012</t>
  </si>
  <si>
    <t>0.010～0.014</t>
  </si>
  <si>
    <t>0.014～0.020</t>
  </si>
  <si>
    <t>0.018～0.026</t>
  </si>
  <si>
    <t>0.022～0.032</t>
  </si>
  <si>
    <t>0.028～0.040</t>
  </si>
  <si>
    <t>0.034～0.050</t>
  </si>
  <si>
    <t>34～44</t>
  </si>
  <si>
    <t>0.038～0.055</t>
  </si>
  <si>
    <t>0.042～0.060</t>
  </si>
  <si>
    <t>0.048～0.072</t>
  </si>
  <si>
    <t>0.056～0.084</t>
  </si>
  <si>
    <t>26～34</t>
  </si>
  <si>
    <t>0.062～0.090</t>
  </si>
  <si>
    <t>0.078～0.096</t>
  </si>
  <si>
    <t>说明：如果采用超高速压铸工艺，内浇口速度可以达到60～90m/s。</t>
  </si>
  <si>
    <r>
      <rPr>
        <b/>
        <sz val="16"/>
        <rFont val="Times New Roman"/>
        <family val="1"/>
      </rPr>
      <t xml:space="preserve">PRESSURE DIE CASTING DIE CULATIONS   </t>
    </r>
    <r>
      <rPr>
        <b/>
        <sz val="16"/>
        <rFont val="宋体"/>
        <family val="3"/>
        <charset val="134"/>
      </rPr>
      <t>压铸模具</t>
    </r>
    <r>
      <rPr>
        <b/>
        <sz val="16"/>
        <rFont val="Times New Roman"/>
        <family val="1"/>
      </rPr>
      <t>P-Q</t>
    </r>
    <r>
      <rPr>
        <b/>
        <vertAlign val="superscript"/>
        <sz val="16"/>
        <rFont val="Times New Roman"/>
        <family val="1"/>
      </rPr>
      <t>2</t>
    </r>
    <r>
      <rPr>
        <b/>
        <sz val="16"/>
        <rFont val="宋体"/>
        <family val="3"/>
        <charset val="134"/>
      </rPr>
      <t>图计算用参数</t>
    </r>
  </si>
  <si>
    <t>压铸机数据</t>
  </si>
  <si>
    <t>压铸合金参数</t>
  </si>
  <si>
    <t>机器数据</t>
  </si>
  <si>
    <t>热室或冷室压室</t>
  </si>
  <si>
    <t>快压蓄能器压力</t>
  </si>
  <si>
    <t>高速压射缸最大充填压力</t>
  </si>
  <si>
    <t>增压后高速压射缸最大压力</t>
  </si>
  <si>
    <t>最大冲头速度</t>
  </si>
  <si>
    <t>压室压射长度</t>
  </si>
  <si>
    <t>冲头压射行程</t>
  </si>
  <si>
    <t>冲头直径</t>
  </si>
  <si>
    <t>铸造面积</t>
  </si>
  <si>
    <t>压射力（增压）</t>
  </si>
  <si>
    <t>铸造压力</t>
  </si>
  <si>
    <t>系统工作压力</t>
  </si>
  <si>
    <t>低速速度</t>
  </si>
  <si>
    <t>最大浇注重量（Al）</t>
  </si>
  <si>
    <t>最大锁模力</t>
  </si>
  <si>
    <t>格林柱数量</t>
  </si>
  <si>
    <t>格林柱直径</t>
  </si>
  <si>
    <t>格林柱水平间距</t>
  </si>
  <si>
    <t>格林柱垂直间距</t>
  </si>
  <si>
    <t>压力冲击系数</t>
  </si>
  <si>
    <t>压室位置（中心向下）</t>
  </si>
  <si>
    <t>动模座板行程</t>
  </si>
  <si>
    <t>压铸模厚度</t>
  </si>
  <si>
    <t>冲头跟出行程距离</t>
  </si>
  <si>
    <t>顶出力</t>
  </si>
  <si>
    <t>合金数据代号</t>
  </si>
  <si>
    <t>名称</t>
  </si>
  <si>
    <t>成分代号</t>
  </si>
  <si>
    <t>液体密度</t>
  </si>
  <si>
    <t>固体密度</t>
  </si>
  <si>
    <t>最低流动温度</t>
  </si>
  <si>
    <t>设备代号</t>
  </si>
  <si>
    <t>吨位及说明</t>
  </si>
  <si>
    <t>Mpa</t>
  </si>
  <si>
    <r>
      <rPr>
        <sz val="12"/>
        <rFont val="Times New Roman"/>
        <family val="1"/>
      </rPr>
      <t>Kg/cm</t>
    </r>
    <r>
      <rPr>
        <vertAlign val="superscript"/>
        <sz val="12"/>
        <rFont val="Times New Roman"/>
        <family val="1"/>
      </rPr>
      <t>2</t>
    </r>
  </si>
  <si>
    <t>m/s</t>
  </si>
  <si>
    <r>
      <rPr>
        <sz val="12"/>
        <rFont val="Times New Roman"/>
        <family val="1"/>
      </rPr>
      <t>cm</t>
    </r>
    <r>
      <rPr>
        <vertAlign val="superscript"/>
        <sz val="12"/>
        <rFont val="Times New Roman"/>
        <family val="1"/>
      </rPr>
      <t>2</t>
    </r>
  </si>
  <si>
    <t>KN</t>
  </si>
  <si>
    <t>Kg</t>
  </si>
  <si>
    <t>tonnes</t>
  </si>
  <si>
    <t>个</t>
  </si>
  <si>
    <t>Mpa*sec/m</t>
  </si>
  <si>
    <t>g/cm3</t>
  </si>
  <si>
    <t>Deg.C</t>
  </si>
  <si>
    <t>力劲</t>
  </si>
  <si>
    <t>130T</t>
  </si>
  <si>
    <t>卧式冷室</t>
  </si>
  <si>
    <t>40/50/60</t>
  </si>
  <si>
    <t>160T</t>
  </si>
  <si>
    <t>200T</t>
  </si>
  <si>
    <t>50/60/70</t>
  </si>
  <si>
    <t>280T</t>
  </si>
  <si>
    <t>400T</t>
  </si>
  <si>
    <t>60/70/80</t>
  </si>
  <si>
    <t>300-700</t>
  </si>
  <si>
    <t>630T</t>
  </si>
  <si>
    <t>70/80/90</t>
  </si>
  <si>
    <t>350-850</t>
  </si>
  <si>
    <t>800T</t>
  </si>
  <si>
    <t>80/90/100</t>
  </si>
  <si>
    <t>400-950</t>
  </si>
  <si>
    <t>900T</t>
  </si>
  <si>
    <t>400-1000</t>
  </si>
  <si>
    <t>1000C</t>
  </si>
  <si>
    <t>90/100/110</t>
  </si>
  <si>
    <t>400-900</t>
  </si>
  <si>
    <t>1000T</t>
  </si>
  <si>
    <t>450-1150</t>
  </si>
  <si>
    <t>1250T</t>
  </si>
  <si>
    <t>450-1180</t>
  </si>
  <si>
    <t>1600T</t>
  </si>
  <si>
    <t>100/110/120</t>
  </si>
  <si>
    <t>500-1400</t>
  </si>
  <si>
    <t>Ｐ－Ｑ图学习资料集</t>
  </si>
  <si>
    <t>每个模具P-Q图计算，需要提供的参数项目
1.估算单腔铸件重量
2.估算单腔溢流重量
3.浇注系统总重量
4.铸件平均壁厚
5.铸件最小壁厚
6.选用铸造压力
7.单腔内浇口厚度
8.单腔内浇口宽度 
9.压铸机型号（吨位）
10.压铸机名义冲头直径
11.压铸机高速压射缸直径
12.压铸机名义快压蓄能器压力
13.压铸机冲头最大空压射速度
14.压铸机最大增压压力
15.压室长度(含浇口套)
16.铸件投影面积(cm²)
17.浇注系统投影面积(cm²)
18.溢流槽投影面积(cm²)
19.滑块端面型腔投影积(cm²)</t>
  </si>
  <si>
    <r>
      <rPr>
        <sz val="12"/>
        <rFont val="宋体"/>
        <family val="3"/>
        <charset val="134"/>
        <scheme val="minor"/>
      </rPr>
      <t xml:space="preserve">         压铸生产中</t>
    </r>
    <r>
      <rPr>
        <sz val="16"/>
        <rFont val="宋体"/>
        <family val="3"/>
        <charset val="134"/>
      </rPr>
      <t>P-Q</t>
    </r>
    <r>
      <rPr>
        <vertAlign val="superscript"/>
        <sz val="16"/>
        <rFont val="宋体"/>
        <family val="3"/>
        <charset val="134"/>
      </rPr>
      <t>2</t>
    </r>
    <r>
      <rPr>
        <sz val="16"/>
        <rFont val="宋体"/>
        <family val="3"/>
        <charset val="134"/>
      </rPr>
      <t>图工艺窗口边界条件的计算（摘录）</t>
    </r>
    <r>
      <rPr>
        <sz val="12"/>
        <rFont val="宋体"/>
        <family val="3"/>
        <charset val="134"/>
      </rPr>
      <t xml:space="preserve">
在计算这个工艺窗口的参数之前 ，首先要明确的是 ： 
1)工艺窗口的参数是指构成工艺窗的最短填充时问、允许最长填充时间、允许的最小充填速度、设备能达到的最大充填速度 四个参数 。 
2)在 P—Q2 中的工艺窗的数值是 由特定的压铸 模具安放在特定的压铸机上，调整 了特定的工艺参数的前提下形成的这个压铸系统本身固有的特性。
3)在组成工艺窗的四条线中 ，最短填充时间是 由选定的工艺参数后模具线和设备线的交点的数值来决定的 ；是无法进行超预期选择的，除非更改工艺参数 ，鉴于最短填充时间的计算比较简单 ，不 涉及到其它繁琐的因素，在此不做过多的赘述。
</t>
    </r>
  </si>
  <si>
    <r>
      <rPr>
        <b/>
        <sz val="16"/>
        <rFont val="宋体"/>
        <family val="3"/>
        <charset val="134"/>
        <scheme val="minor"/>
      </rPr>
      <t xml:space="preserve">       内浇口截面及合模力的计算</t>
    </r>
    <r>
      <rPr>
        <sz val="12"/>
        <rFont val="宋体"/>
        <family val="3"/>
        <charset val="134"/>
        <scheme val="minor"/>
      </rPr>
      <t xml:space="preserve">
  借用P-Q图，使用以下方法设计和校验模具的设计参数：
1、按铸件的平均壁厚和最小壁厚，并考虑铸件质量要求，分别选择两个充填时间，选择两个内浇口速度，计算出两个大小不同的内浇口截面积，这就是内浇口截面积的大小范围。在考虑铸件的质量情况，如果薄壁难以成形，就选较大的内浇口截面积，否则，选用较小的内浇口截面积。
2、按铸件的平均壁厚和最小壁厚，并考虑铸件质量要求，自己选择内浇口充填时间的范围，选择内浇口充填速度的范围，这就是P-Q 图的工艺窗口范围。
3、按壁厚、复杂程度及质量要求选择铸造压力的基本大小和范围。
4、要考虑选用的铸造压力、该压铸机常用的高速压射速度、合金液在压射室的充满度大小，计算并选择压射室的直径。
5、按内浇口面积、冲头面积及充头推动合金液的压力选择内浇口的面积，并按冲头限制速度校验内浇口的面积。
4、用分型面的投影面积和铸造压力及安全系数计算合模力。</t>
    </r>
  </si>
  <si>
    <t xml:space="preserve">1 最大充填速度 
考虑 到压铸模具与压铸机的匹配性 ，此处定义的最大充填速度是指压铸机输出功率最大时，该压铸系统所能够达到的最大充填速度；可以把这个充填速度作为工艺窗的一条指标线，此时设备功率得到有效的利用，此时系统最大充填速度计算公式为[1]:
式中：Wamax 一最大充填速度，m／s；μ一流出系数，取 0.5～0.8；ρ —金属液密度，kg／m ；P—储能器压力，Pa；D—压射缸直径，mm； d0一冲头直径，mm；W0—冲头速度，m／s；Wotmax—最大空压射速度，m／s．在实际的应用当中，人们发现：在生产铝合金压铸件时，当充填速度超过60m／s时，很容易出现粘模拉伤等质量问题，因此，在计算的最大充填速度大于 60m／s时，一般以60m／s作为工艺窗的最大充填速度为宜。
</t>
  </si>
  <si>
    <r>
      <rPr>
        <sz val="12"/>
        <rFont val="宋体"/>
        <family val="3"/>
        <charset val="134"/>
        <scheme val="minor"/>
      </rPr>
      <t xml:space="preserve">         </t>
    </r>
    <r>
      <rPr>
        <b/>
        <sz val="16"/>
        <rFont val="宋体"/>
        <family val="3"/>
        <charset val="134"/>
        <scheme val="minor"/>
      </rPr>
      <t>高速压射界限速度</t>
    </r>
    <r>
      <rPr>
        <sz val="12"/>
        <rFont val="宋体"/>
        <family val="3"/>
        <charset val="134"/>
        <scheme val="minor"/>
      </rPr>
      <t xml:space="preserve">
   使用某模具，压铸机有一个可以达到的最大界限冲头压射速度（V界限）。模具内浇口的大小，会限制冲头速度的大小。   
            V</t>
    </r>
    <r>
      <rPr>
        <vertAlign val="subscript"/>
        <sz val="12"/>
        <rFont val="宋体"/>
        <family val="3"/>
        <charset val="134"/>
      </rPr>
      <t>界限</t>
    </r>
    <r>
      <rPr>
        <sz val="12"/>
        <rFont val="宋体"/>
        <family val="3"/>
        <charset val="134"/>
        <scheme val="minor"/>
      </rPr>
      <t>＝k（S</t>
    </r>
    <r>
      <rPr>
        <vertAlign val="subscript"/>
        <sz val="12"/>
        <rFont val="宋体"/>
        <family val="3"/>
        <charset val="134"/>
      </rPr>
      <t>内</t>
    </r>
    <r>
      <rPr>
        <sz val="12"/>
        <rFont val="宋体"/>
        <family val="3"/>
        <charset val="134"/>
        <scheme val="minor"/>
      </rPr>
      <t>÷S</t>
    </r>
    <r>
      <rPr>
        <vertAlign val="subscript"/>
        <sz val="12"/>
        <rFont val="宋体"/>
        <family val="3"/>
        <charset val="134"/>
      </rPr>
      <t>冲</t>
    </r>
    <r>
      <rPr>
        <sz val="12"/>
        <rFont val="宋体"/>
        <family val="3"/>
        <charset val="134"/>
        <scheme val="minor"/>
      </rPr>
      <t>）P</t>
    </r>
    <r>
      <rPr>
        <vertAlign val="subscript"/>
        <sz val="12"/>
        <rFont val="宋体"/>
        <family val="3"/>
        <charset val="134"/>
      </rPr>
      <t>冲</t>
    </r>
    <r>
      <rPr>
        <vertAlign val="superscript"/>
        <sz val="12"/>
        <rFont val="宋体"/>
        <family val="3"/>
        <charset val="134"/>
      </rPr>
      <t>1/2</t>
    </r>
    <r>
      <rPr>
        <sz val="12"/>
        <rFont val="宋体"/>
        <family val="3"/>
        <charset val="134"/>
      </rPr>
      <t xml:space="preserve">
式中：S</t>
    </r>
    <r>
      <rPr>
        <vertAlign val="subscript"/>
        <sz val="12"/>
        <rFont val="宋体"/>
        <family val="3"/>
        <charset val="134"/>
      </rPr>
      <t>内</t>
    </r>
    <r>
      <rPr>
        <sz val="12"/>
        <rFont val="宋体"/>
        <family val="3"/>
        <charset val="134"/>
      </rPr>
      <t>、S</t>
    </r>
    <r>
      <rPr>
        <vertAlign val="subscript"/>
        <sz val="12"/>
        <rFont val="宋体"/>
        <family val="3"/>
        <charset val="134"/>
      </rPr>
      <t>冲</t>
    </r>
    <r>
      <rPr>
        <sz val="12"/>
        <rFont val="宋体"/>
        <family val="3"/>
        <charset val="134"/>
      </rPr>
      <t>—内浇口及冲头的截面积，cm2；P</t>
    </r>
    <r>
      <rPr>
        <vertAlign val="subscript"/>
        <sz val="12"/>
        <rFont val="宋体"/>
        <family val="3"/>
        <charset val="134"/>
      </rPr>
      <t>冲</t>
    </r>
    <r>
      <rPr>
        <sz val="12"/>
        <rFont val="宋体"/>
        <family val="3"/>
        <charset val="134"/>
      </rPr>
      <t>—高速压射充填时冲头压铸合金液的压射比压，Kg/cm2；k—合金液阻力系数，铝合金为550、镁合金为660、锌合金为344，密度越大阻力越大。
    模具设计时需矫验，界限速度要大于所选定的压射速度：   V</t>
    </r>
    <r>
      <rPr>
        <vertAlign val="subscript"/>
        <sz val="12"/>
        <rFont val="宋体"/>
        <family val="3"/>
        <charset val="134"/>
      </rPr>
      <t>界限</t>
    </r>
    <r>
      <rPr>
        <sz val="12"/>
        <rFont val="宋体"/>
        <family val="3"/>
        <charset val="134"/>
      </rPr>
      <t xml:space="preserve"> ＞ V</t>
    </r>
    <r>
      <rPr>
        <vertAlign val="subscript"/>
        <sz val="12"/>
        <rFont val="宋体"/>
        <family val="3"/>
        <charset val="134"/>
      </rPr>
      <t>冲</t>
    </r>
  </si>
  <si>
    <t xml:space="preserve">2 允许最长填充时间的计算 
所谓允许最长填充时间，就是指 由压铸模具和压铸机所组成 的压铸系统，在选定的工艺参数条件下 ，系统所允许的最长的填充时间，超 出了这个时间，生产的铸件质量就可能会出问题，它的计算公式为 ：
    式中：T —压铸件允许的最长填充时间，ms；k —系数，与所用的模具材料有关，常用模具钢 H13的值为0.0346；X —压铸件平均壁厚，mm；Ti — 金属液温度，℃；Tl一金属液最低流动温度，℃；S—目标固体百分率，％；z一固体系数，％；Td—模具温度，℃．
    公式(2)中，容许固体百分系数。s确定铸件在型腔浇注时可容许的合金固化量。当金属液流经相对冷模时，它会损失对模具的热量。首先快速损失金属液的过热(即保持温度高于液相线的热量)然后潜热(即保持金属为液体状的热量)开始流人模具，当潜热从金属液中流出时，一些金属液固化。固化的部分是浮在液体上的小颗粒。系数“Js”为型腔 浇注时固化金属液量的百分比数 。 
一般来说，固化百分比(10～15)越小，表面光洁度和表面重现精度就越好。较大固化百分比(至 50)会导致较小的内孔隙度。厚铸件非常适合使用大百分比系数，但薄铸件通常采用“S”较小数值的效果较好。(铸件越薄，其加强的作用就越小，而铸件的收缩量就越均匀 )。 
    壁厚X 在式中是一个重要的系数。虽然压铸件的壁厚很少完全一致 ，但通常是几乎所有地方的壁厚是相同的，有个别部位比较薄，个别肋条，浮图饰或其它厚的部位。这样的铸件可以被认为是具有“标准”厚度，这些种类的铸件应该采用标准厚度。如果铸件有距浇口最远的薄部位，在中应采用该薄部位的厚度作为厚度系数。另一种情况是型腔薄的部位位于浇口的附近，而最厚的部位却距浇口最远。这种情况下，如果最厚的部分也是标准厚度，就应采用标准厚度。否则，通常最好的做法是使用平均厚度 。
</t>
  </si>
  <si>
    <t xml:space="preserve">3 允许的最小充填速度的计算
虽然 ，过高 的充填速度会产生卷气 、漩涡[7]，使 铸件产生气孔及氧化夹杂的缺陷 ，冲刷模具型腔加 剧模具的磨损等 问题 ，但是 ，过低 的充填速度 同样 会 带来铸件 的一 系列 质量问题 ，诸如 ：冷 隔 、欠铸等 ；那么 ，允许 的最小充填速度又与哪些 因素有关呢?G．Lieby和 L．Frommer的研究指出 ：内浇 口的厚 度影响着金属液滴的形成 ，一较薄的金属流从内浇 口射出 ，并迅速变厚 ，在极短 的时间后 形成延续伸 展的“结 ”，这个“结 ”随射 流向前运动并最终雾化 ， 金属射流从 内浇 口流出的最小充填速度为[6]：
                                                (3)
式中： Wamin一 最小充填速度 ，m／s；Vm一是液态金属的动力黏度 ，m2／s；σm一 表 面张力 ，N／m；ρm一 密度 ，kg／m ；d— 内浇口厚度 ，m。
为保证雾化要求，一般要将计算出的数值扩大 1.3～1.5倍作为工艺窗 口的参数。 
1．4 实 际案例 应 用
在计算上述工艺窗的参数之前 ，往往 已经确定 了压铸机 的各种参数 ，因此 ，完成 了上述四条工艺 窗 口边界线 的计算之后 ，就可 以画 出一个完整的 P—Q2图 了。 
下面以一个铝合金实际案例进行计算 ，并将经 验设定值列在该图示上做 出对比。 
铸件参数：材质 ADC12，壁厚 3mm，总重量 865g， 内浇 口面积 200mm2，内浇 口厚度 1．8mm． 
设备参数 ：压铸机 DCC280，压射缸直径 110mm， 最大空压射速度 6m／s（设定实际最大压身寸速度45m／s ）， 储能压力 12．5MPa，Cd：开放系数取 0．5，模具温度 200℃，浇注温度 650oC，冲头直径 60mm． 
根据上述参数 ，利用前面所列出的公式 ，可 以计 算 出这个系统所能达到的最短填充时间为 34．6ms，系统允许的最长填充时间为 54．4ms；最大充速度 54．05m／s，允许 的最小充 填速度 27．93m／s；画出 P-Q 图如图 2所示(各条线的意义参见图 1)．
</t>
  </si>
  <si>
    <t xml:space="preserve">   图 2中的三个虚线所示 的长方形① 、② 、③ 是 依据经验值画出的工艺窗(具体数值见前 言部分 )， 这三个工艺 窗与计算得 出的工艺窗 口的差距是十 分明显的 ，这些经验值设定的工艺窗 口分别部分地 覆盖 了计算得出的工艺窗口。 
   从图 2可以看 出，工艺点 B和工艺点 F虽然分 别处于经验数据画出的工艺窗①和③中，但是 ，这 两处工艺 点已经超 出了这个压铸 系统本身 的工艺窗口范围，在这两个工艺点上是不可能生产出合格 产品的；工艺点 C和工艺点 D虽然处于这个压铸系 统本身的工艺窗 口范围，但是 ，这两个工艺点 比较接近工艺窗口的边缘 ，在压铸系统 的诸多因素(如 ： 合金液温度 、压射冲头的磨损 、模具温度 、脱模剂喷 涂量等 )发生 波动 时 ，可能导致压铸工艺超出了工 艺 窗口的范 围，造成铸件的报废 ；因此 ，最佳 的工艺 点应选 择 工艺点 D。
   这个图形 同时也揭示 了，P—Q2 图实际应用中的 时而管用 ，时而失效 的原 因所在 ，从理论上解释 了 这个问题 的产 生主要在 于经验设定 的工艺窗 口与 系统本身所具有的工艺窗 口的不完全重合。
</t>
  </si>
  <si>
    <r>
      <t xml:space="preserve">                      压铸模具及压铸机P-Q图计算分析
                         </t>
    </r>
    <r>
      <rPr>
        <sz val="18"/>
        <rFont val="宋体"/>
        <family val="3"/>
        <charset val="134"/>
      </rPr>
      <t>（仅供MEICC：铸造工艺设计赛使用）</t>
    </r>
    <r>
      <rPr>
        <sz val="16"/>
        <rFont val="宋体"/>
        <family val="3"/>
        <charset val="134"/>
      </rPr>
      <t xml:space="preserve">
    P-Q研究对象为压射高速填充阶段的合金液填充能力与充填流量的关系，关注的是压铸机与压铸模具的匹配情况，与慢压射、增压无关，能关注到铸件的表面情况，关注不到铸件的气孔、缩孔等情况。
    P-Q图，是把压铸模具的铸件及浇注系统设计的数据与压铸机的性能参数数据分别形成曲线，在曲线的交点进行对接，关注对接点的参数。要满足铸件的充填条件，要求对接点要在充填时间及充填速度合适的工艺窗口范围内。</t>
    </r>
    <phoneticPr fontId="39" type="noConversion"/>
  </si>
  <si>
    <t>铸造工艺设计赛</t>
    <phoneticPr fontId="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</si>
</sst>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0.0_);[Red]\(0.0\)"/>
    <numFmt numFmtId="178" formatCode="0.00_);[Red]\(0.00\)"/>
    <numFmt numFmtId="179" formatCode="0_);[Red]\(0\)"/>
    <numFmt numFmtId="180" formatCode="0_ "/>
    <numFmt numFmtId="181" formatCode="0.0_ "/>
  </numFmts>
  <fonts count="41" x14ac:knownFonts="1">
    <font>
      <sz val="12"/>
      <name val="宋体"/>
      <charset val="134"/>
    </font>
    <font>
      <sz val="12"/>
      <name val="宋体"/>
      <family val="3"/>
      <charset val="134"/>
      <scheme val="minor"/>
    </font>
    <font>
      <b/>
      <sz val="18"/>
      <name val="宋体"/>
      <family val="3"/>
      <charset val="134"/>
      <scheme val="minor"/>
    </font>
    <font>
      <sz val="12"/>
      <color theme="0" tint="-0.499984740745262"/>
      <name val="宋体"/>
      <family val="3"/>
      <charset val="134"/>
      <scheme val="minor"/>
    </font>
    <font>
      <b/>
      <sz val="16"/>
      <name val="宋体"/>
      <family val="3"/>
      <charset val="134"/>
      <scheme val="minor"/>
    </font>
    <font>
      <b/>
      <sz val="16"/>
      <name val="Times New Roman"/>
      <family val="1"/>
    </font>
    <font>
      <sz val="18"/>
      <name val="宋体"/>
      <family val="3"/>
      <charset val="134"/>
    </font>
    <font>
      <sz val="16"/>
      <name val="宋体"/>
      <family val="3"/>
      <charset val="134"/>
    </font>
    <font>
      <sz val="12"/>
      <name val="Times New Roman"/>
      <family val="1"/>
    </font>
    <font>
      <sz val="14"/>
      <name val="宋体"/>
      <family val="3"/>
      <charset val="134"/>
    </font>
    <font>
      <sz val="22"/>
      <name val="宋体"/>
      <family val="3"/>
      <charset val="134"/>
    </font>
    <font>
      <sz val="16"/>
      <name val="宋体"/>
      <family val="3"/>
      <charset val="134"/>
      <scheme val="minor"/>
    </font>
    <font>
      <sz val="12"/>
      <color theme="1"/>
      <name val="宋体"/>
      <family val="3"/>
      <charset val="134"/>
      <scheme val="minor"/>
    </font>
    <font>
      <sz val="12"/>
      <color rgb="FF2C10FA"/>
      <name val="宋体"/>
      <family val="3"/>
      <charset val="134"/>
      <scheme val="minor"/>
    </font>
    <font>
      <sz val="11"/>
      <name val="宋体"/>
      <family val="3"/>
      <charset val="134"/>
      <scheme val="minor"/>
    </font>
    <font>
      <sz val="10"/>
      <name val="宋体"/>
      <family val="3"/>
      <charset val="134"/>
      <scheme val="minor"/>
    </font>
    <font>
      <u/>
      <sz val="12"/>
      <color rgb="FFFF0000"/>
      <name val="宋体"/>
      <family val="3"/>
      <charset val="134"/>
      <scheme val="minor"/>
    </font>
    <font>
      <u/>
      <sz val="12"/>
      <color indexed="12"/>
      <name val="宋体"/>
      <family val="3"/>
      <charset val="134"/>
      <scheme val="minor"/>
    </font>
    <font>
      <sz val="12"/>
      <color rgb="FF0000FF"/>
      <name val="宋体"/>
      <family val="3"/>
      <charset val="134"/>
      <scheme val="minor"/>
    </font>
    <font>
      <sz val="12"/>
      <color rgb="FF00B050"/>
      <name val="宋体"/>
      <family val="3"/>
      <charset val="134"/>
      <scheme val="minor"/>
    </font>
    <font>
      <sz val="12"/>
      <color rgb="FF0000FF"/>
      <name val="宋体"/>
      <family val="3"/>
      <charset val="134"/>
    </font>
    <font>
      <sz val="12"/>
      <color rgb="FFFF0000"/>
      <name val="宋体"/>
      <family val="3"/>
      <charset val="134"/>
      <scheme val="minor"/>
    </font>
    <font>
      <sz val="12"/>
      <color rgb="FFF521E9"/>
      <name val="宋体"/>
      <family val="3"/>
      <charset val="134"/>
      <scheme val="minor"/>
    </font>
    <font>
      <sz val="11"/>
      <color theme="1"/>
      <name val="宋体"/>
      <family val="3"/>
      <charset val="134"/>
      <scheme val="minor"/>
    </font>
    <font>
      <sz val="10"/>
      <color theme="1"/>
      <name val="宋体"/>
      <family val="3"/>
      <charset val="134"/>
      <scheme val="minor"/>
    </font>
    <font>
      <sz val="12"/>
      <color indexed="12"/>
      <name val="宋体"/>
      <family val="3"/>
      <charset val="134"/>
      <scheme val="minor"/>
    </font>
    <font>
      <u/>
      <sz val="12"/>
      <name val="宋体"/>
      <family val="3"/>
      <charset val="134"/>
      <scheme val="minor"/>
    </font>
    <font>
      <sz val="11"/>
      <color rgb="FF022AD4"/>
      <name val="宋体"/>
      <family val="3"/>
      <charset val="134"/>
    </font>
    <font>
      <sz val="11"/>
      <name val="宋体"/>
      <family val="3"/>
      <charset val="134"/>
    </font>
    <font>
      <vertAlign val="superscript"/>
      <sz val="16"/>
      <name val="宋体"/>
      <family val="3"/>
      <charset val="134"/>
    </font>
    <font>
      <vertAlign val="subscript"/>
      <sz val="12"/>
      <name val="宋体"/>
      <family val="3"/>
      <charset val="134"/>
    </font>
    <font>
      <vertAlign val="superscript"/>
      <sz val="12"/>
      <name val="宋体"/>
      <family val="3"/>
      <charset val="134"/>
    </font>
    <font>
      <b/>
      <sz val="16"/>
      <name val="宋体"/>
      <family val="3"/>
      <charset val="134"/>
    </font>
    <font>
      <b/>
      <vertAlign val="superscript"/>
      <sz val="16"/>
      <name val="Times New Roman"/>
      <family val="1"/>
    </font>
    <font>
      <vertAlign val="superscript"/>
      <sz val="12"/>
      <name val="Times New Roman"/>
      <family val="1"/>
    </font>
    <font>
      <sz val="9"/>
      <color indexed="14"/>
      <name val="宋体"/>
      <family val="3"/>
      <charset val="134"/>
    </font>
    <font>
      <sz val="12"/>
      <color indexed="14"/>
      <name val="宋体"/>
      <family val="3"/>
      <charset val="134"/>
    </font>
    <font>
      <sz val="10"/>
      <color theme="1"/>
      <name val="宋体"/>
      <family val="3"/>
      <charset val="134"/>
    </font>
    <font>
      <b/>
      <sz val="9"/>
      <name val="宋体"/>
      <family val="3"/>
      <charset val="134"/>
    </font>
    <font>
      <sz val="9"/>
      <name val="宋体"/>
      <family val="3"/>
      <charset val="134"/>
    </font>
    <font>
      <sz val="12"/>
      <name val="宋体"/>
      <family val="3"/>
      <charset val="134"/>
    </font>
  </fonts>
  <fills count="9">
    <fill>
      <patternFill patternType="none"/>
    </fill>
    <fill>
      <patternFill patternType="gray125"/>
    </fill>
    <fill>
      <patternFill patternType="solid">
        <fgColor theme="9"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indexed="50"/>
        <bgColor indexed="64"/>
      </patternFill>
    </fill>
  </fills>
  <borders count="57">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right style="medium">
        <color auto="1"/>
      </right>
      <top/>
      <bottom/>
      <diagonal/>
    </border>
    <border>
      <left style="thin">
        <color auto="1"/>
      </left>
      <right/>
      <top/>
      <bottom/>
      <diagonal/>
    </border>
    <border>
      <left/>
      <right style="medium">
        <color auto="1"/>
      </right>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s>
  <cellStyleXfs count="1">
    <xf numFmtId="0" fontId="0" fillId="0" borderId="0"/>
  </cellStyleXfs>
  <cellXfs count="273">
    <xf numFmtId="0" fontId="0" fillId="0" borderId="0" xfId="0"/>
    <xf numFmtId="0" fontId="0" fillId="0" borderId="0" xfId="0" applyAlignment="1">
      <alignment horizontal="center" vertical="center"/>
    </xf>
    <xf numFmtId="0" fontId="1" fillId="0" borderId="0" xfId="0" applyFont="1"/>
    <xf numFmtId="0" fontId="1" fillId="0" borderId="0" xfId="0" applyFont="1" applyAlignment="1">
      <alignment vertical="center"/>
    </xf>
    <xf numFmtId="0" fontId="3" fillId="0" borderId="0" xfId="0" applyFont="1"/>
    <xf numFmtId="176" fontId="3" fillId="0" borderId="0" xfId="0" applyNumberFormat="1" applyFont="1"/>
    <xf numFmtId="0" fontId="0" fillId="0" borderId="0" xfId="0" applyAlignment="1">
      <alignment horizontal="center" vertical="center" wrapText="1"/>
    </xf>
    <xf numFmtId="177" fontId="0" fillId="0" borderId="0" xfId="0" applyNumberFormat="1" applyAlignment="1">
      <alignment horizontal="center" vertical="center"/>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7" fillId="0" borderId="0" xfId="0" applyFont="1" applyAlignment="1">
      <alignment horizontal="center" vertical="center"/>
    </xf>
    <xf numFmtId="0" fontId="0" fillId="0" borderId="5" xfId="0" applyBorder="1" applyAlignment="1">
      <alignment horizontal="center" vertical="center" wrapText="1"/>
    </xf>
    <xf numFmtId="0" fontId="0" fillId="2" borderId="5" xfId="0" applyFill="1" applyBorder="1" applyAlignment="1">
      <alignment horizontal="center" vertical="center" wrapText="1"/>
    </xf>
    <xf numFmtId="0" fontId="0" fillId="0" borderId="6" xfId="0" applyBorder="1" applyAlignment="1">
      <alignment horizontal="center" vertical="center"/>
    </xf>
    <xf numFmtId="0" fontId="8" fillId="2" borderId="6" xfId="0" applyFont="1" applyFill="1" applyBorder="1" applyAlignment="1">
      <alignment horizontal="center" vertical="center"/>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3" fontId="0" fillId="3" borderId="8"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8" fillId="0" borderId="6" xfId="0" applyFont="1" applyBorder="1" applyAlignment="1">
      <alignment horizontal="center" vertical="center"/>
    </xf>
    <xf numFmtId="0" fontId="0" fillId="0" borderId="8" xfId="0" applyBorder="1" applyAlignment="1" applyProtection="1">
      <alignment horizontal="center" vertical="center"/>
      <protection locked="0"/>
    </xf>
    <xf numFmtId="0" fontId="5" fillId="0" borderId="9"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177" fontId="0" fillId="0" borderId="5" xfId="0" applyNumberFormat="1" applyBorder="1" applyAlignment="1">
      <alignment horizontal="center" vertical="center" wrapText="1"/>
    </xf>
    <xf numFmtId="177" fontId="8" fillId="0" borderId="6" xfId="0" applyNumberFormat="1" applyFont="1" applyBorder="1" applyAlignment="1">
      <alignment horizontal="center" vertical="center"/>
    </xf>
    <xf numFmtId="0" fontId="0" fillId="0" borderId="11" xfId="0" applyBorder="1" applyAlignment="1" applyProtection="1">
      <alignment horizontal="center" vertical="center"/>
      <protection locked="0"/>
    </xf>
    <xf numFmtId="177" fontId="0" fillId="0" borderId="7" xfId="0" applyNumberFormat="1" applyBorder="1" applyAlignment="1" applyProtection="1">
      <alignment horizontal="center" vertical="center"/>
      <protection locked="0"/>
    </xf>
    <xf numFmtId="0" fontId="0" fillId="0" borderId="13" xfId="0" applyBorder="1" applyAlignment="1">
      <alignment horizontal="center" vertical="center" wrapText="1"/>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12" fillId="0" borderId="12" xfId="0" applyFont="1" applyBorder="1" applyAlignment="1" applyProtection="1">
      <alignment horizontal="center" vertical="center"/>
      <protection hidden="1"/>
    </xf>
    <xf numFmtId="0" fontId="12" fillId="0" borderId="12" xfId="0" applyFont="1" applyBorder="1" applyAlignment="1" applyProtection="1">
      <alignment horizontal="center" vertical="center"/>
      <protection locked="0"/>
    </xf>
    <xf numFmtId="0" fontId="12" fillId="0" borderId="12" xfId="0" applyFont="1" applyBorder="1"/>
    <xf numFmtId="0" fontId="1" fillId="0" borderId="18" xfId="0" applyFont="1" applyBorder="1" applyAlignment="1" applyProtection="1">
      <alignment vertical="center"/>
      <protection hidden="1"/>
    </xf>
    <xf numFmtId="0" fontId="1" fillId="0" borderId="0" xfId="0" applyFont="1" applyAlignment="1" applyProtection="1">
      <alignment vertical="center"/>
      <protection hidden="1"/>
    </xf>
    <xf numFmtId="0" fontId="13" fillId="0" borderId="25" xfId="0" applyFont="1" applyBorder="1" applyAlignment="1" applyProtection="1">
      <alignment vertical="center"/>
      <protection hidden="1"/>
    </xf>
    <xf numFmtId="0" fontId="1" fillId="5" borderId="12" xfId="0" applyFont="1" applyFill="1" applyBorder="1" applyAlignment="1" applyProtection="1">
      <alignment horizontal="center" vertical="center"/>
      <protection locked="0"/>
    </xf>
    <xf numFmtId="0" fontId="1" fillId="0" borderId="24" xfId="0" applyFont="1" applyBorder="1" applyAlignment="1" applyProtection="1">
      <alignment vertical="center"/>
      <protection hidden="1"/>
    </xf>
    <xf numFmtId="0" fontId="1" fillId="0" borderId="25" xfId="0" applyFont="1" applyBorder="1" applyAlignment="1" applyProtection="1">
      <alignment vertical="center"/>
      <protection hidden="1"/>
    </xf>
    <xf numFmtId="0" fontId="1" fillId="5" borderId="12" xfId="0" applyFont="1" applyFill="1" applyBorder="1" applyAlignment="1" applyProtection="1">
      <alignment horizontal="right" vertical="center"/>
      <protection locked="0"/>
    </xf>
    <xf numFmtId="0" fontId="1" fillId="0" borderId="26" xfId="0" applyFont="1" applyBorder="1" applyAlignment="1" applyProtection="1">
      <alignment vertical="center"/>
      <protection hidden="1"/>
    </xf>
    <xf numFmtId="0" fontId="13" fillId="0" borderId="12" xfId="0" applyFont="1" applyBorder="1" applyAlignment="1" applyProtection="1">
      <alignment vertical="center"/>
      <protection hidden="1"/>
    </xf>
    <xf numFmtId="179" fontId="1" fillId="0" borderId="12" xfId="0" applyNumberFormat="1" applyFont="1" applyBorder="1" applyAlignment="1" applyProtection="1">
      <alignment horizontal="center" vertical="center"/>
      <protection hidden="1"/>
    </xf>
    <xf numFmtId="0" fontId="1" fillId="4" borderId="12" xfId="0" applyFont="1" applyFill="1" applyBorder="1" applyAlignment="1" applyProtection="1">
      <alignment horizontal="center" vertical="center"/>
      <protection locked="0"/>
    </xf>
    <xf numFmtId="179" fontId="1" fillId="0" borderId="12" xfId="0" applyNumberFormat="1" applyFont="1" applyBorder="1" applyAlignment="1" applyProtection="1">
      <alignment horizontal="right" vertical="center"/>
      <protection hidden="1"/>
    </xf>
    <xf numFmtId="180" fontId="1" fillId="0" borderId="12" xfId="0" applyNumberFormat="1" applyFont="1" applyBorder="1" applyAlignment="1" applyProtection="1">
      <alignment horizontal="center" vertical="center"/>
      <protection hidden="1"/>
    </xf>
    <xf numFmtId="0" fontId="14" fillId="0" borderId="25" xfId="0" applyFont="1" applyBorder="1" applyAlignment="1" applyProtection="1">
      <alignment vertical="center"/>
      <protection hidden="1"/>
    </xf>
    <xf numFmtId="177" fontId="1" fillId="0" borderId="12" xfId="0" applyNumberFormat="1" applyFont="1" applyBorder="1" applyAlignment="1" applyProtection="1">
      <alignment horizontal="right" vertical="center"/>
      <protection hidden="1"/>
    </xf>
    <xf numFmtId="0" fontId="15" fillId="0" borderId="25" xfId="0" applyFont="1" applyBorder="1" applyAlignment="1" applyProtection="1">
      <alignment vertical="center"/>
      <protection hidden="1"/>
    </xf>
    <xf numFmtId="0" fontId="13" fillId="0" borderId="27" xfId="0" applyFont="1" applyBorder="1" applyAlignment="1" applyProtection="1">
      <alignment vertical="center"/>
      <protection hidden="1"/>
    </xf>
    <xf numFmtId="180" fontId="1" fillId="0" borderId="0" xfId="0" applyNumberFormat="1" applyFont="1" applyAlignment="1" applyProtection="1">
      <alignment horizontal="center" vertical="center"/>
      <protection hidden="1"/>
    </xf>
    <xf numFmtId="0" fontId="1" fillId="0" borderId="12" xfId="0" applyFont="1" applyBorder="1" applyAlignment="1" applyProtection="1">
      <alignment vertical="center"/>
      <protection hidden="1"/>
    </xf>
    <xf numFmtId="0" fontId="1" fillId="0" borderId="28" xfId="0" applyFont="1" applyBorder="1" applyAlignment="1" applyProtection="1">
      <alignment vertical="center"/>
      <protection hidden="1"/>
    </xf>
    <xf numFmtId="177" fontId="1" fillId="0" borderId="5" xfId="0" applyNumberFormat="1" applyFont="1" applyBorder="1" applyAlignment="1" applyProtection="1">
      <alignment horizontal="right" vertical="center"/>
      <protection hidden="1"/>
    </xf>
    <xf numFmtId="0" fontId="1" fillId="0" borderId="25" xfId="0" applyFont="1" applyBorder="1"/>
    <xf numFmtId="180" fontId="1" fillId="0" borderId="12" xfId="0" applyNumberFormat="1" applyFont="1" applyBorder="1"/>
    <xf numFmtId="0" fontId="1" fillId="0" borderId="26" xfId="0" applyFont="1" applyBorder="1"/>
    <xf numFmtId="0" fontId="1" fillId="0" borderId="12" xfId="0" applyFont="1" applyBorder="1" applyAlignment="1">
      <alignment vertical="center"/>
    </xf>
    <xf numFmtId="0" fontId="13" fillId="0" borderId="28" xfId="0" applyFont="1" applyBorder="1" applyAlignment="1" applyProtection="1">
      <alignment vertical="center" wrapText="1"/>
      <protection hidden="1"/>
    </xf>
    <xf numFmtId="0" fontId="1" fillId="4" borderId="5" xfId="0" applyFont="1" applyFill="1" applyBorder="1" applyAlignment="1" applyProtection="1">
      <alignment horizontal="center" vertical="center"/>
      <protection locked="0"/>
    </xf>
    <xf numFmtId="0" fontId="1" fillId="0" borderId="1" xfId="0" applyFont="1" applyBorder="1" applyAlignment="1" applyProtection="1">
      <alignment vertical="center"/>
      <protection hidden="1"/>
    </xf>
    <xf numFmtId="0" fontId="1" fillId="0" borderId="29" xfId="0" applyFont="1" applyBorder="1" applyAlignment="1">
      <alignment vertical="center"/>
    </xf>
    <xf numFmtId="180" fontId="1" fillId="0" borderId="30" xfId="0" applyNumberFormat="1" applyFont="1" applyBorder="1" applyAlignment="1">
      <alignment vertical="center"/>
    </xf>
    <xf numFmtId="20" fontId="1" fillId="0" borderId="31" xfId="0" applyNumberFormat="1" applyFont="1" applyBorder="1" applyAlignment="1">
      <alignment vertical="center"/>
    </xf>
    <xf numFmtId="0" fontId="16" fillId="0" borderId="32" xfId="0" applyFont="1" applyBorder="1" applyAlignment="1" applyProtection="1">
      <alignment vertical="center"/>
      <protection hidden="1"/>
    </xf>
    <xf numFmtId="0" fontId="1" fillId="0" borderId="33" xfId="0" applyFont="1" applyBorder="1" applyAlignment="1" applyProtection="1">
      <alignment horizontal="center" vertical="center"/>
      <protection locked="0"/>
    </xf>
    <xf numFmtId="0" fontId="1" fillId="0" borderId="34" xfId="0" applyFont="1" applyBorder="1" applyAlignment="1" applyProtection="1">
      <alignment vertical="center"/>
      <protection hidden="1"/>
    </xf>
    <xf numFmtId="0" fontId="13" fillId="0" borderId="32" xfId="0" applyFont="1" applyBorder="1" applyAlignment="1" applyProtection="1">
      <alignment vertical="center"/>
      <protection hidden="1"/>
    </xf>
    <xf numFmtId="0" fontId="1" fillId="4" borderId="33" xfId="0" applyFont="1" applyFill="1" applyBorder="1" applyProtection="1">
      <protection locked="0"/>
    </xf>
    <xf numFmtId="0" fontId="1" fillId="0" borderId="34" xfId="0" applyFont="1" applyBorder="1"/>
    <xf numFmtId="0" fontId="17" fillId="0" borderId="12" xfId="0" applyFont="1" applyBorder="1" applyAlignment="1" applyProtection="1">
      <alignment vertical="center"/>
      <protection hidden="1"/>
    </xf>
    <xf numFmtId="0" fontId="12" fillId="0" borderId="20" xfId="0" applyFont="1" applyBorder="1" applyAlignment="1" applyProtection="1">
      <alignment horizontal="left" vertical="center"/>
      <protection hidden="1"/>
    </xf>
    <xf numFmtId="0" fontId="17" fillId="0" borderId="2" xfId="0" applyFont="1" applyBorder="1" applyAlignment="1" applyProtection="1">
      <alignment horizontal="left" vertical="center"/>
      <protection hidden="1"/>
    </xf>
    <xf numFmtId="0" fontId="17" fillId="0" borderId="35" xfId="0" applyFont="1" applyBorder="1" applyAlignment="1" applyProtection="1">
      <alignment horizontal="left" vertical="center"/>
      <protection hidden="1"/>
    </xf>
    <xf numFmtId="0" fontId="13" fillId="0" borderId="25" xfId="0" applyFont="1" applyBorder="1"/>
    <xf numFmtId="177" fontId="1" fillId="0" borderId="12" xfId="0" applyNumberFormat="1" applyFont="1" applyBorder="1" applyProtection="1">
      <protection hidden="1"/>
    </xf>
    <xf numFmtId="177" fontId="17" fillId="0" borderId="12" xfId="0" applyNumberFormat="1" applyFont="1" applyBorder="1" applyAlignment="1" applyProtection="1">
      <alignment vertical="center"/>
      <protection hidden="1"/>
    </xf>
    <xf numFmtId="0" fontId="12" fillId="0" borderId="25" xfId="0" applyFont="1" applyBorder="1" applyAlignment="1" applyProtection="1">
      <alignment horizontal="left" vertical="center"/>
      <protection hidden="1"/>
    </xf>
    <xf numFmtId="0" fontId="1" fillId="4" borderId="12" xfId="0" applyFont="1" applyFill="1" applyBorder="1" applyProtection="1">
      <protection locked="0"/>
    </xf>
    <xf numFmtId="0" fontId="12" fillId="0" borderId="36" xfId="0" applyFont="1" applyBorder="1" applyAlignment="1" applyProtection="1">
      <alignment vertical="center"/>
      <protection hidden="1"/>
    </xf>
    <xf numFmtId="0" fontId="1" fillId="0" borderId="37" xfId="0" applyFont="1" applyBorder="1" applyAlignment="1" applyProtection="1">
      <alignment vertical="center"/>
      <protection hidden="1"/>
    </xf>
    <xf numFmtId="0" fontId="12" fillId="0" borderId="25" xfId="0" applyFont="1" applyBorder="1" applyAlignment="1" applyProtection="1">
      <alignment vertical="center"/>
      <protection hidden="1"/>
    </xf>
    <xf numFmtId="0" fontId="12" fillId="0" borderId="25" xfId="0" applyFont="1" applyBorder="1" applyAlignment="1" applyProtection="1">
      <alignment vertical="center" wrapText="1"/>
      <protection hidden="1"/>
    </xf>
    <xf numFmtId="0" fontId="1" fillId="0" borderId="26" xfId="0" applyFont="1" applyBorder="1" applyAlignment="1" applyProtection="1">
      <alignment vertical="center" wrapText="1"/>
      <protection hidden="1"/>
    </xf>
    <xf numFmtId="0" fontId="18" fillId="0" borderId="25" xfId="0" applyFont="1" applyBorder="1" applyAlignment="1">
      <alignment vertical="center"/>
    </xf>
    <xf numFmtId="180" fontId="1" fillId="0" borderId="12" xfId="0" applyNumberFormat="1" applyFont="1" applyBorder="1" applyAlignment="1">
      <alignment vertical="center"/>
    </xf>
    <xf numFmtId="0" fontId="1" fillId="0" borderId="26" xfId="0" applyFont="1" applyBorder="1" applyAlignment="1">
      <alignment vertical="center"/>
    </xf>
    <xf numFmtId="0" fontId="18" fillId="0" borderId="25" xfId="0" applyFont="1" applyBorder="1" applyAlignment="1" applyProtection="1">
      <alignment vertical="center"/>
      <protection hidden="1"/>
    </xf>
    <xf numFmtId="180" fontId="1" fillId="0" borderId="12" xfId="0" applyNumberFormat="1" applyFont="1" applyBorder="1" applyAlignment="1" applyProtection="1">
      <alignment horizontal="right" vertical="center"/>
      <protection hidden="1"/>
    </xf>
    <xf numFmtId="180" fontId="1" fillId="0" borderId="5" xfId="0" applyNumberFormat="1" applyFont="1" applyBorder="1" applyAlignment="1" applyProtection="1">
      <alignment horizontal="center" vertical="center"/>
      <protection hidden="1"/>
    </xf>
    <xf numFmtId="0" fontId="18" fillId="0" borderId="25" xfId="0" applyFont="1" applyBorder="1" applyAlignment="1" applyProtection="1">
      <alignment vertical="center" wrapText="1"/>
      <protection hidden="1"/>
    </xf>
    <xf numFmtId="178" fontId="1" fillId="0" borderId="12" xfId="0" applyNumberFormat="1" applyFont="1" applyBorder="1" applyAlignment="1" applyProtection="1">
      <alignment horizontal="right" vertical="center"/>
      <protection hidden="1"/>
    </xf>
    <xf numFmtId="0" fontId="12" fillId="0" borderId="20" xfId="0" applyFont="1" applyBorder="1" applyAlignment="1" applyProtection="1">
      <alignment vertical="center"/>
      <protection hidden="1"/>
    </xf>
    <xf numFmtId="177" fontId="1" fillId="0" borderId="5" xfId="0" applyNumberFormat="1" applyFont="1" applyBorder="1" applyAlignment="1" applyProtection="1">
      <alignment horizontal="center" vertical="center"/>
      <protection hidden="1"/>
    </xf>
    <xf numFmtId="0" fontId="1" fillId="0" borderId="35" xfId="0" applyFont="1" applyBorder="1" applyAlignment="1" applyProtection="1">
      <alignment vertical="center"/>
      <protection hidden="1"/>
    </xf>
    <xf numFmtId="177" fontId="1" fillId="0" borderId="12" xfId="0" applyNumberFormat="1" applyFont="1" applyBorder="1" applyAlignment="1" applyProtection="1">
      <alignment horizontal="center" vertical="center"/>
      <protection hidden="1"/>
    </xf>
    <xf numFmtId="0" fontId="13" fillId="0" borderId="25" xfId="0" applyFont="1" applyBorder="1" applyAlignment="1">
      <alignment vertical="center" wrapText="1"/>
    </xf>
    <xf numFmtId="176" fontId="1" fillId="0" borderId="12" xfId="0" applyNumberFormat="1" applyFont="1" applyBorder="1" applyAlignment="1">
      <alignment vertical="center"/>
    </xf>
    <xf numFmtId="0" fontId="19" fillId="0" borderId="29" xfId="0" applyFont="1" applyBorder="1" applyAlignment="1" applyProtection="1">
      <alignment vertical="center"/>
      <protection hidden="1"/>
    </xf>
    <xf numFmtId="177" fontId="1" fillId="0" borderId="30" xfId="0" applyNumberFormat="1" applyFont="1" applyBorder="1" applyAlignment="1" applyProtection="1">
      <alignment horizontal="center" vertical="center"/>
      <protection hidden="1"/>
    </xf>
    <xf numFmtId="0" fontId="1" fillId="0" borderId="31" xfId="0" applyFont="1" applyBorder="1" applyAlignment="1" applyProtection="1">
      <alignment vertical="center"/>
      <protection hidden="1"/>
    </xf>
    <xf numFmtId="180" fontId="1" fillId="0" borderId="12" xfId="0" applyNumberFormat="1" applyFont="1" applyBorder="1" applyAlignment="1" applyProtection="1">
      <alignment horizontal="center" vertical="center"/>
      <protection locked="0"/>
    </xf>
    <xf numFmtId="0" fontId="20" fillId="0" borderId="25" xfId="0" applyFont="1" applyBorder="1" applyAlignment="1" applyProtection="1">
      <alignment vertical="center" wrapText="1"/>
      <protection hidden="1"/>
    </xf>
    <xf numFmtId="0" fontId="1" fillId="4" borderId="12" xfId="0" applyFont="1" applyFill="1" applyBorder="1" applyAlignment="1" applyProtection="1">
      <alignment horizontal="right" vertical="center"/>
      <protection locked="0"/>
    </xf>
    <xf numFmtId="0" fontId="1" fillId="0" borderId="12" xfId="0" applyFont="1" applyBorder="1" applyAlignment="1">
      <alignment horizontal="right" vertical="center"/>
    </xf>
    <xf numFmtId="0" fontId="1" fillId="0" borderId="12" xfId="0" applyFont="1" applyBorder="1"/>
    <xf numFmtId="0" fontId="21" fillId="0" borderId="29" xfId="0" applyFont="1" applyBorder="1" applyAlignment="1" applyProtection="1">
      <alignment vertical="center"/>
      <protection hidden="1"/>
    </xf>
    <xf numFmtId="177" fontId="1" fillId="0" borderId="30" xfId="0" applyNumberFormat="1" applyFont="1" applyBorder="1" applyAlignment="1" applyProtection="1">
      <alignment horizontal="right" vertical="center"/>
      <protection hidden="1"/>
    </xf>
    <xf numFmtId="181" fontId="1" fillId="0" borderId="12" xfId="0" applyNumberFormat="1" applyFont="1" applyBorder="1" applyAlignment="1" applyProtection="1">
      <alignment horizontal="center" vertical="center"/>
      <protection hidden="1"/>
    </xf>
    <xf numFmtId="0" fontId="18" fillId="0" borderId="29" xfId="0" applyFont="1" applyBorder="1" applyAlignment="1" applyProtection="1">
      <alignment vertical="center"/>
      <protection hidden="1"/>
    </xf>
    <xf numFmtId="181" fontId="1" fillId="0" borderId="30" xfId="0" applyNumberFormat="1" applyFont="1" applyBorder="1" applyAlignment="1" applyProtection="1">
      <alignment horizontal="center" vertical="center"/>
      <protection hidden="1"/>
    </xf>
    <xf numFmtId="0" fontId="22" fillId="0" borderId="32" xfId="0" applyFont="1" applyBorder="1" applyAlignment="1" applyProtection="1">
      <alignment vertical="center"/>
      <protection hidden="1"/>
    </xf>
    <xf numFmtId="181" fontId="1" fillId="0" borderId="33" xfId="0" applyNumberFormat="1" applyFont="1" applyBorder="1" applyAlignment="1" applyProtection="1">
      <alignment horizontal="center" vertical="center"/>
      <protection hidden="1"/>
    </xf>
    <xf numFmtId="0" fontId="22" fillId="0" borderId="25" xfId="0" applyFont="1" applyBorder="1" applyAlignment="1" applyProtection="1">
      <alignment vertical="center"/>
      <protection hidden="1"/>
    </xf>
    <xf numFmtId="0" fontId="1" fillId="0" borderId="29" xfId="0" applyFont="1" applyBorder="1"/>
    <xf numFmtId="181" fontId="1" fillId="0" borderId="30" xfId="0" applyNumberFormat="1" applyFont="1" applyBorder="1"/>
    <xf numFmtId="0" fontId="1" fillId="0" borderId="31" xfId="0" applyFont="1" applyBorder="1"/>
    <xf numFmtId="0" fontId="23" fillId="0" borderId="6" xfId="0" applyFont="1" applyBorder="1" applyAlignment="1">
      <alignment vertical="center"/>
    </xf>
    <xf numFmtId="0" fontId="1" fillId="5" borderId="37" xfId="0" applyFont="1" applyFill="1" applyBorder="1" applyAlignment="1" applyProtection="1">
      <alignment horizontal="center" vertical="center"/>
      <protection locked="0"/>
    </xf>
    <xf numFmtId="0" fontId="23" fillId="0" borderId="12" xfId="0" applyFont="1" applyBorder="1" applyAlignment="1">
      <alignment vertical="center"/>
    </xf>
    <xf numFmtId="0" fontId="1" fillId="5" borderId="26" xfId="0" applyFont="1" applyFill="1" applyBorder="1" applyAlignment="1" applyProtection="1">
      <alignment horizontal="center" vertical="center"/>
      <protection locked="0"/>
    </xf>
    <xf numFmtId="0" fontId="3" fillId="0" borderId="1" xfId="0" applyFont="1" applyBorder="1" applyProtection="1">
      <protection hidden="1"/>
    </xf>
    <xf numFmtId="0" fontId="3" fillId="0" borderId="40" xfId="0" applyFont="1" applyBorder="1" applyProtection="1">
      <protection hidden="1"/>
    </xf>
    <xf numFmtId="0" fontId="3" fillId="0" borderId="40" xfId="0" applyFont="1" applyBorder="1" applyAlignment="1" applyProtection="1">
      <alignment horizontal="center"/>
      <protection hidden="1"/>
    </xf>
    <xf numFmtId="176" fontId="3" fillId="0" borderId="40" xfId="0" applyNumberFormat="1" applyFont="1" applyBorder="1" applyProtection="1">
      <protection hidden="1"/>
    </xf>
    <xf numFmtId="0" fontId="1" fillId="0" borderId="39" xfId="0" applyFont="1" applyBorder="1" applyAlignment="1" applyProtection="1">
      <alignment vertical="center"/>
      <protection hidden="1"/>
    </xf>
    <xf numFmtId="0" fontId="15" fillId="0" borderId="26" xfId="0" applyFont="1" applyBorder="1" applyAlignment="1" applyProtection="1">
      <alignment vertical="center"/>
      <protection hidden="1"/>
    </xf>
    <xf numFmtId="176" fontId="1" fillId="0" borderId="12" xfId="0" applyNumberFormat="1" applyFont="1" applyBorder="1" applyAlignment="1" applyProtection="1">
      <alignment vertical="center"/>
      <protection hidden="1"/>
    </xf>
    <xf numFmtId="176" fontId="1" fillId="0" borderId="12" xfId="0" applyNumberFormat="1" applyFont="1" applyBorder="1" applyAlignment="1" applyProtection="1">
      <alignment vertical="center"/>
      <protection locked="0"/>
    </xf>
    <xf numFmtId="0" fontId="1" fillId="0" borderId="12" xfId="0" applyFont="1" applyBorder="1" applyAlignment="1" applyProtection="1">
      <alignment horizontal="center" vertical="center"/>
      <protection locked="0"/>
    </xf>
    <xf numFmtId="176" fontId="12" fillId="0" borderId="0" xfId="0" applyNumberFormat="1" applyFont="1" applyAlignment="1">
      <alignment horizontal="right"/>
    </xf>
    <xf numFmtId="0" fontId="12" fillId="0" borderId="0" xfId="0" applyFont="1"/>
    <xf numFmtId="178" fontId="24" fillId="0" borderId="12" xfId="0" applyNumberFormat="1" applyFont="1" applyBorder="1" applyProtection="1">
      <protection hidden="1"/>
    </xf>
    <xf numFmtId="178" fontId="24" fillId="0" borderId="12" xfId="0" applyNumberFormat="1" applyFont="1" applyBorder="1" applyAlignment="1" applyProtection="1">
      <alignment horizontal="center"/>
      <protection hidden="1"/>
    </xf>
    <xf numFmtId="176" fontId="24" fillId="0" borderId="12" xfId="0" applyNumberFormat="1" applyFont="1" applyBorder="1" applyProtection="1">
      <protection hidden="1"/>
    </xf>
    <xf numFmtId="176" fontId="24" fillId="0" borderId="12" xfId="0" applyNumberFormat="1" applyFont="1" applyBorder="1"/>
    <xf numFmtId="176" fontId="24" fillId="0" borderId="12" xfId="0" applyNumberFormat="1" applyFont="1" applyBorder="1" applyAlignment="1" applyProtection="1">
      <alignment horizontal="center"/>
      <protection hidden="1"/>
    </xf>
    <xf numFmtId="176" fontId="24" fillId="0" borderId="12" xfId="0" applyNumberFormat="1" applyFont="1" applyBorder="1" applyAlignment="1">
      <alignment horizontal="center"/>
    </xf>
    <xf numFmtId="0" fontId="14" fillId="0" borderId="26" xfId="0" applyFont="1" applyBorder="1" applyAlignment="1" applyProtection="1">
      <alignment horizontal="center" vertical="center"/>
      <protection locked="0"/>
    </xf>
    <xf numFmtId="0" fontId="23" fillId="0" borderId="24" xfId="0" applyFont="1" applyBorder="1" applyAlignment="1">
      <alignment vertical="center"/>
    </xf>
    <xf numFmtId="180" fontId="14" fillId="0" borderId="12" xfId="0" applyNumberFormat="1" applyFont="1" applyBorder="1" applyAlignment="1" applyProtection="1">
      <alignment horizontal="center" vertical="center"/>
      <protection locked="0"/>
    </xf>
    <xf numFmtId="0" fontId="23" fillId="0" borderId="44" xfId="0" applyFont="1" applyBorder="1" applyAlignment="1">
      <alignment vertical="center"/>
    </xf>
    <xf numFmtId="180" fontId="14" fillId="0" borderId="12" xfId="0" applyNumberFormat="1" applyFont="1" applyBorder="1" applyAlignment="1">
      <alignment horizontal="center" vertical="center"/>
    </xf>
    <xf numFmtId="0" fontId="25" fillId="0" borderId="36" xfId="0" applyFont="1" applyBorder="1" applyAlignment="1" applyProtection="1">
      <alignment vertical="center"/>
      <protection hidden="1"/>
    </xf>
    <xf numFmtId="0" fontId="25" fillId="0" borderId="3" xfId="0" applyFont="1" applyBorder="1" applyAlignment="1" applyProtection="1">
      <alignment vertical="center"/>
      <protection hidden="1"/>
    </xf>
    <xf numFmtId="0" fontId="25" fillId="0" borderId="12" xfId="0" applyFont="1" applyBorder="1" applyAlignment="1" applyProtection="1">
      <alignment vertical="center"/>
      <protection hidden="1"/>
    </xf>
    <xf numFmtId="0" fontId="25" fillId="6" borderId="12" xfId="0" applyFont="1" applyFill="1" applyBorder="1" applyAlignment="1" applyProtection="1">
      <alignment horizontal="center" vertical="center"/>
      <protection hidden="1"/>
    </xf>
    <xf numFmtId="0" fontId="1" fillId="0" borderId="4" xfId="0" applyFont="1" applyBorder="1" applyAlignment="1">
      <alignment horizontal="center" vertical="center"/>
    </xf>
    <xf numFmtId="0" fontId="25" fillId="0" borderId="42" xfId="0" applyFont="1" applyBorder="1" applyAlignment="1" applyProtection="1">
      <alignment vertical="center"/>
      <protection hidden="1"/>
    </xf>
    <xf numFmtId="177" fontId="1" fillId="6" borderId="12" xfId="0" applyNumberFormat="1" applyFont="1" applyFill="1" applyBorder="1" applyAlignment="1" applyProtection="1">
      <alignment horizontal="center" vertical="center"/>
      <protection hidden="1"/>
    </xf>
    <xf numFmtId="0" fontId="17" fillId="0" borderId="42" xfId="0" applyFont="1" applyBorder="1" applyAlignment="1" applyProtection="1">
      <alignment horizontal="left" vertical="center"/>
      <protection hidden="1"/>
    </xf>
    <xf numFmtId="0" fontId="1" fillId="6" borderId="12" xfId="0" applyFont="1" applyFill="1" applyBorder="1" applyAlignment="1" applyProtection="1">
      <alignment horizontal="center" vertical="center"/>
      <protection hidden="1"/>
    </xf>
    <xf numFmtId="0" fontId="1" fillId="0" borderId="45" xfId="0" applyFont="1" applyBorder="1"/>
    <xf numFmtId="0" fontId="1" fillId="0" borderId="29" xfId="0" applyFont="1" applyBorder="1" applyAlignment="1" applyProtection="1">
      <alignment vertical="center"/>
      <protection hidden="1"/>
    </xf>
    <xf numFmtId="0" fontId="26" fillId="6" borderId="30" xfId="0" applyFont="1" applyFill="1" applyBorder="1" applyAlignment="1" applyProtection="1">
      <alignment horizontal="center" vertical="center"/>
      <protection hidden="1"/>
    </xf>
    <xf numFmtId="0" fontId="1" fillId="0" borderId="18" xfId="0" applyFont="1" applyBorder="1" applyProtection="1">
      <protection hidden="1"/>
    </xf>
    <xf numFmtId="0" fontId="1" fillId="0" borderId="0" xfId="0" applyFont="1" applyProtection="1">
      <protection hidden="1"/>
    </xf>
    <xf numFmtId="0" fontId="1" fillId="0" borderId="2" xfId="0" applyFont="1" applyBorder="1" applyProtection="1">
      <protection hidden="1"/>
    </xf>
    <xf numFmtId="0" fontId="1" fillId="0" borderId="16" xfId="0" applyFont="1" applyBorder="1"/>
    <xf numFmtId="0" fontId="1" fillId="0" borderId="17" xfId="0" applyFont="1" applyBorder="1"/>
    <xf numFmtId="0" fontId="1" fillId="0" borderId="18" xfId="0" applyFont="1" applyBorder="1"/>
    <xf numFmtId="0" fontId="1" fillId="7" borderId="0" xfId="0" applyFont="1" applyFill="1"/>
    <xf numFmtId="0" fontId="1" fillId="8" borderId="0" xfId="0" applyFont="1" applyFill="1"/>
    <xf numFmtId="0" fontId="1" fillId="0" borderId="46" xfId="0" applyFont="1" applyBorder="1"/>
    <xf numFmtId="0" fontId="1" fillId="0" borderId="47" xfId="0" applyFont="1" applyBorder="1"/>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1" fillId="0" borderId="12" xfId="0" applyFont="1" applyBorder="1" applyAlignment="1">
      <alignment horizontal="center"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1" fillId="0" borderId="45" xfId="0" applyFont="1" applyBorder="1" applyAlignment="1">
      <alignment horizontal="center" vertical="center"/>
    </xf>
    <xf numFmtId="0" fontId="1" fillId="0" borderId="26" xfId="0" applyFont="1" applyBorder="1" applyAlignment="1">
      <alignment horizontal="center" vertical="center"/>
    </xf>
    <xf numFmtId="0" fontId="1" fillId="0" borderId="52" xfId="0" applyFont="1" applyBorder="1" applyAlignment="1">
      <alignment horizontal="center" vertical="center"/>
    </xf>
    <xf numFmtId="0" fontId="1" fillId="0" borderId="0" xfId="0" applyFont="1" applyAlignment="1">
      <alignment horizontal="center" vertical="center"/>
    </xf>
    <xf numFmtId="0" fontId="27" fillId="0" borderId="12" xfId="0" applyFont="1" applyBorder="1" applyAlignment="1">
      <alignment horizontal="center" vertical="center" wrapText="1"/>
    </xf>
    <xf numFmtId="0" fontId="1" fillId="0" borderId="39" xfId="0" applyFont="1" applyBorder="1" applyAlignment="1">
      <alignment vertical="center"/>
    </xf>
    <xf numFmtId="0" fontId="25" fillId="0" borderId="43" xfId="0" applyFont="1" applyBorder="1" applyAlignment="1" applyProtection="1">
      <alignment vertical="center"/>
      <protection hidden="1"/>
    </xf>
    <xf numFmtId="0" fontId="17" fillId="0" borderId="43" xfId="0" applyFont="1" applyBorder="1" applyAlignment="1" applyProtection="1">
      <alignment horizontal="left" vertical="center"/>
      <protection hidden="1"/>
    </xf>
    <xf numFmtId="0" fontId="3" fillId="0" borderId="0" xfId="0" applyFont="1" applyProtection="1">
      <protection hidden="1"/>
    </xf>
    <xf numFmtId="0" fontId="1" fillId="0" borderId="38" xfId="0" applyFont="1" applyBorder="1"/>
    <xf numFmtId="0" fontId="1" fillId="0" borderId="39" xfId="0" applyFont="1" applyBorder="1"/>
    <xf numFmtId="176" fontId="12" fillId="0" borderId="12" xfId="0" applyNumberFormat="1" applyFont="1" applyBorder="1"/>
    <xf numFmtId="179" fontId="28" fillId="0" borderId="0" xfId="0" applyNumberFormat="1" applyFont="1" applyAlignment="1">
      <alignment vertical="center" wrapText="1"/>
    </xf>
    <xf numFmtId="0" fontId="4" fillId="0" borderId="12" xfId="0" applyFont="1" applyBorder="1" applyAlignment="1" applyProtection="1">
      <alignment horizontal="center" vertical="center"/>
      <protection hidden="1"/>
    </xf>
    <xf numFmtId="0" fontId="12" fillId="5" borderId="12" xfId="0" applyFont="1" applyFill="1" applyBorder="1" applyAlignment="1" applyProtection="1">
      <alignment horizontal="center" vertical="center"/>
      <protection locked="0"/>
    </xf>
    <xf numFmtId="0" fontId="12" fillId="5" borderId="12" xfId="0" applyFont="1" applyFill="1" applyBorder="1" applyAlignment="1" applyProtection="1">
      <alignment horizontal="left" vertical="center"/>
      <protection locked="0"/>
    </xf>
    <xf numFmtId="0" fontId="12" fillId="0" borderId="12" xfId="0" applyFont="1" applyBorder="1" applyAlignment="1">
      <alignment horizontal="center"/>
    </xf>
    <xf numFmtId="0" fontId="13" fillId="0" borderId="21" xfId="0" applyFont="1" applyBorder="1" applyAlignment="1" applyProtection="1">
      <alignment horizontal="left" vertical="center"/>
      <protection hidden="1"/>
    </xf>
    <xf numFmtId="0" fontId="13" fillId="0" borderId="22" xfId="0" applyFont="1" applyBorder="1" applyAlignment="1" applyProtection="1">
      <alignment horizontal="left" vertical="center"/>
      <protection hidden="1"/>
    </xf>
    <xf numFmtId="0" fontId="1" fillId="0" borderId="21" xfId="0" applyFont="1" applyBorder="1" applyAlignment="1" applyProtection="1">
      <alignment horizontal="left" vertical="center"/>
      <protection hidden="1"/>
    </xf>
    <xf numFmtId="0" fontId="1" fillId="0" borderId="22" xfId="0" applyFont="1" applyBorder="1" applyAlignment="1" applyProtection="1">
      <alignment horizontal="left" vertical="center"/>
      <protection hidden="1"/>
    </xf>
    <xf numFmtId="0" fontId="1" fillId="0" borderId="23" xfId="0" applyFont="1" applyBorder="1" applyAlignment="1" applyProtection="1">
      <alignment horizontal="left" vertical="center"/>
      <protection hidden="1"/>
    </xf>
    <xf numFmtId="0" fontId="13" fillId="0" borderId="24" xfId="0" applyFont="1" applyBorder="1" applyAlignment="1" applyProtection="1">
      <alignment horizontal="left" vertical="center"/>
      <protection hidden="1"/>
    </xf>
    <xf numFmtId="0" fontId="13" fillId="0" borderId="42" xfId="0" applyFont="1" applyBorder="1" applyAlignment="1" applyProtection="1">
      <alignment horizontal="left" vertical="center"/>
      <protection hidden="1"/>
    </xf>
    <xf numFmtId="0" fontId="13" fillId="0" borderId="43" xfId="0" applyFont="1" applyBorder="1" applyAlignment="1" applyProtection="1">
      <alignment horizontal="left" vertical="center"/>
      <protection hidden="1"/>
    </xf>
    <xf numFmtId="0" fontId="12" fillId="0" borderId="21" xfId="0" applyFont="1" applyBorder="1" applyAlignment="1" applyProtection="1">
      <alignment horizontal="left" vertical="center"/>
      <protection hidden="1"/>
    </xf>
    <xf numFmtId="0" fontId="12" fillId="0" borderId="22" xfId="0" applyFont="1" applyBorder="1" applyAlignment="1" applyProtection="1">
      <alignment horizontal="left" vertical="center"/>
      <protection hidden="1"/>
    </xf>
    <xf numFmtId="0" fontId="12" fillId="0" borderId="23" xfId="0" applyFont="1" applyBorder="1" applyAlignment="1" applyProtection="1">
      <alignment horizontal="left" vertical="center"/>
      <protection hidden="1"/>
    </xf>
    <xf numFmtId="178" fontId="24" fillId="0" borderId="12" xfId="0" applyNumberFormat="1" applyFont="1" applyBorder="1" applyAlignment="1" applyProtection="1">
      <alignment horizontal="center"/>
      <protection hidden="1"/>
    </xf>
    <xf numFmtId="0" fontId="1" fillId="0" borderId="2" xfId="0" applyFont="1" applyBorder="1" applyAlignment="1" applyProtection="1">
      <alignment horizontal="center"/>
      <protection hidden="1"/>
    </xf>
    <xf numFmtId="0" fontId="1" fillId="0" borderId="35" xfId="0" applyFont="1" applyBorder="1" applyAlignment="1" applyProtection="1">
      <alignment horizontal="center"/>
      <protection hidden="1"/>
    </xf>
    <xf numFmtId="0" fontId="17" fillId="0" borderId="47" xfId="0" applyFont="1" applyBorder="1" applyAlignment="1">
      <alignment horizontal="right" vertical="center"/>
    </xf>
    <xf numFmtId="0" fontId="1" fillId="0" borderId="47" xfId="0" applyFont="1" applyBorder="1" applyAlignment="1">
      <alignment horizontal="right" vertical="center"/>
    </xf>
    <xf numFmtId="0" fontId="1" fillId="0" borderId="53" xfId="0" applyFont="1" applyBorder="1" applyAlignment="1">
      <alignment horizontal="right" vertical="center"/>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43" xfId="0" applyFont="1" applyBorder="1" applyAlignment="1">
      <alignment horizontal="center" vertical="center"/>
    </xf>
    <xf numFmtId="0" fontId="1" fillId="0" borderId="42" xfId="0" applyFont="1" applyBorder="1" applyAlignment="1">
      <alignment horizontal="center" vertical="center"/>
    </xf>
    <xf numFmtId="0" fontId="1" fillId="0" borderId="44" xfId="0" applyFont="1" applyBorder="1" applyAlignment="1">
      <alignment horizontal="center" vertical="center"/>
    </xf>
    <xf numFmtId="0" fontId="1" fillId="0" borderId="50" xfId="0" applyFont="1" applyBorder="1" applyAlignment="1">
      <alignment horizontal="center" vertical="center"/>
    </xf>
    <xf numFmtId="0" fontId="1" fillId="0" borderId="51" xfId="0" applyFont="1" applyBorder="1" applyAlignment="1">
      <alignment horizontal="center" vertical="center"/>
    </xf>
    <xf numFmtId="0" fontId="1" fillId="0" borderId="12" xfId="0" applyFont="1" applyBorder="1" applyAlignment="1">
      <alignment horizontal="center" vertical="center"/>
    </xf>
    <xf numFmtId="0" fontId="1" fillId="0" borderId="26" xfId="0" applyFont="1" applyBorder="1" applyAlignment="1">
      <alignment horizontal="center" vertical="center"/>
    </xf>
    <xf numFmtId="0" fontId="1" fillId="0" borderId="32" xfId="0" applyFont="1" applyBorder="1" applyAlignment="1">
      <alignment horizontal="center"/>
    </xf>
    <xf numFmtId="0" fontId="1" fillId="0" borderId="33" xfId="0" applyFont="1" applyBorder="1" applyAlignment="1">
      <alignment horizontal="center"/>
    </xf>
    <xf numFmtId="0" fontId="1" fillId="0" borderId="34" xfId="0" applyFont="1" applyBorder="1" applyAlignment="1">
      <alignment horizontal="center"/>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 fillId="0" borderId="0" xfId="0" applyFont="1" applyAlignment="1">
      <alignment horizontal="center"/>
    </xf>
    <xf numFmtId="0" fontId="27" fillId="0" borderId="12" xfId="0" applyFont="1" applyBorder="1" applyAlignment="1">
      <alignment horizontal="center" vertical="center"/>
    </xf>
    <xf numFmtId="0" fontId="27" fillId="0" borderId="12"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9" xfId="0" applyFont="1" applyBorder="1" applyAlignment="1">
      <alignment horizontal="center" vertical="center" wrapText="1"/>
    </xf>
    <xf numFmtId="0" fontId="1" fillId="0" borderId="28" xfId="0" applyFont="1" applyBorder="1" applyAlignment="1">
      <alignment horizontal="center" vertical="center"/>
    </xf>
    <xf numFmtId="0" fontId="1" fillId="0" borderId="36" xfId="0" applyFont="1" applyBorder="1" applyAlignment="1">
      <alignment horizontal="center" vertical="center"/>
    </xf>
    <xf numFmtId="0" fontId="1" fillId="0" borderId="28" xfId="0" applyFont="1" applyBorder="1" applyAlignment="1">
      <alignment horizontal="center" vertical="center" wrapText="1"/>
    </xf>
    <xf numFmtId="0" fontId="1" fillId="0" borderId="27" xfId="0" applyFont="1" applyBorder="1" applyAlignment="1">
      <alignment horizontal="center" vertical="center"/>
    </xf>
    <xf numFmtId="0" fontId="1" fillId="0" borderId="1" xfId="0" applyFont="1" applyBorder="1" applyAlignment="1">
      <alignment horizontal="center" vertical="center"/>
    </xf>
    <xf numFmtId="0" fontId="1" fillId="0" borderId="40" xfId="0" applyFont="1" applyBorder="1" applyAlignment="1">
      <alignment horizontal="center" vertical="center"/>
    </xf>
    <xf numFmtId="0" fontId="1" fillId="0" borderId="48" xfId="0" applyFont="1" applyBorder="1" applyAlignment="1">
      <alignment horizontal="center" vertical="center"/>
    </xf>
    <xf numFmtId="0" fontId="1" fillId="0" borderId="5" xfId="0" applyFont="1" applyBorder="1" applyAlignment="1">
      <alignment horizontal="center" vertical="center"/>
    </xf>
    <xf numFmtId="0" fontId="1" fillId="0" borderId="13" xfId="0" applyFont="1" applyBorder="1" applyAlignment="1">
      <alignment horizontal="center" vertical="center"/>
    </xf>
    <xf numFmtId="0" fontId="1" fillId="0" borderId="49" xfId="0" applyFont="1" applyBorder="1" applyAlignment="1">
      <alignment horizontal="center" vertical="center"/>
    </xf>
    <xf numFmtId="0" fontId="1" fillId="0" borderId="54" xfId="0" applyFont="1" applyBorder="1" applyAlignment="1">
      <alignment horizontal="center" vertical="center"/>
    </xf>
    <xf numFmtId="0" fontId="1" fillId="0" borderId="55" xfId="0" applyFont="1" applyBorder="1" applyAlignment="1">
      <alignment horizontal="center" vertical="center"/>
    </xf>
    <xf numFmtId="0" fontId="1" fillId="0" borderId="56" xfId="0" applyFont="1" applyBorder="1" applyAlignment="1">
      <alignment horizontal="center" vertical="center"/>
    </xf>
    <xf numFmtId="0" fontId="11" fillId="4" borderId="20" xfId="0" applyFont="1" applyFill="1" applyBorder="1" applyAlignment="1" applyProtection="1">
      <alignment horizontal="left" vertical="center"/>
      <protection hidden="1"/>
    </xf>
    <xf numFmtId="0" fontId="11" fillId="4" borderId="2" xfId="0" applyFont="1" applyFill="1" applyBorder="1" applyAlignment="1" applyProtection="1">
      <alignment horizontal="left" vertical="center"/>
      <protection hidden="1"/>
    </xf>
    <xf numFmtId="0" fontId="11" fillId="4" borderId="35" xfId="0" applyFont="1" applyFill="1" applyBorder="1" applyAlignment="1" applyProtection="1">
      <alignment horizontal="left" vertical="center"/>
      <protection hidden="1"/>
    </xf>
    <xf numFmtId="0" fontId="11" fillId="4" borderId="18" xfId="0" applyFont="1" applyFill="1" applyBorder="1" applyAlignment="1" applyProtection="1">
      <alignment horizontal="left" vertical="center"/>
      <protection hidden="1"/>
    </xf>
    <xf numFmtId="0" fontId="11" fillId="4" borderId="0" xfId="0" applyFont="1" applyFill="1" applyAlignment="1" applyProtection="1">
      <alignment horizontal="left" vertical="center"/>
      <protection hidden="1"/>
    </xf>
    <xf numFmtId="0" fontId="11" fillId="4" borderId="39" xfId="0" applyFont="1" applyFill="1" applyBorder="1" applyAlignment="1" applyProtection="1">
      <alignment horizontal="left" vertical="center"/>
      <protection hidden="1"/>
    </xf>
    <xf numFmtId="0" fontId="10" fillId="0" borderId="16" xfId="0" applyFont="1" applyBorder="1" applyAlignment="1" applyProtection="1">
      <alignment horizontal="left" vertical="center" wrapText="1"/>
      <protection hidden="1"/>
    </xf>
    <xf numFmtId="0" fontId="11" fillId="0" borderId="17" xfId="0" applyFont="1" applyBorder="1" applyAlignment="1" applyProtection="1">
      <alignment horizontal="left" vertical="center" wrapText="1"/>
      <protection hidden="1"/>
    </xf>
    <xf numFmtId="0" fontId="11" fillId="0" borderId="38" xfId="0" applyFont="1" applyBorder="1" applyAlignment="1" applyProtection="1">
      <alignment horizontal="left" vertical="center" wrapText="1"/>
      <protection hidden="1"/>
    </xf>
    <xf numFmtId="0" fontId="10" fillId="0" borderId="18" xfId="0" applyFont="1" applyBorder="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11" fillId="0" borderId="39" xfId="0" applyFont="1" applyBorder="1" applyAlignment="1" applyProtection="1">
      <alignment horizontal="left" vertical="center" wrapText="1"/>
      <protection hidden="1"/>
    </xf>
    <xf numFmtId="0" fontId="11" fillId="0" borderId="18" xfId="0" applyFont="1" applyBorder="1" applyAlignment="1" applyProtection="1">
      <alignment horizontal="left" vertical="center" wrapText="1"/>
      <protection hidden="1"/>
    </xf>
    <xf numFmtId="0" fontId="11" fillId="0" borderId="19"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41" xfId="0" applyFont="1" applyBorder="1" applyAlignment="1" applyProtection="1">
      <alignment horizontal="left" vertical="center" wrapText="1"/>
      <protection hidden="1"/>
    </xf>
    <xf numFmtId="0" fontId="6" fillId="0" borderId="0" xfId="0" applyFont="1" applyAlignment="1">
      <alignment horizontal="center" vertical="center"/>
    </xf>
    <xf numFmtId="0" fontId="7" fillId="0" borderId="0" xfId="0" applyFont="1" applyAlignment="1">
      <alignment horizontal="center" vertical="center"/>
    </xf>
    <xf numFmtId="0" fontId="9" fillId="0" borderId="12" xfId="0" applyFont="1" applyBorder="1" applyAlignment="1">
      <alignment horizontal="center" vertical="center"/>
    </xf>
    <xf numFmtId="0" fontId="5" fillId="0" borderId="1"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2" fillId="0" borderId="0" xfId="0" applyFont="1" applyAlignment="1">
      <alignment horizontal="center"/>
    </xf>
    <xf numFmtId="0" fontId="1" fillId="0" borderId="0" xfId="0" applyFont="1" applyAlignment="1">
      <alignment horizontal="left" wrapText="1"/>
    </xf>
    <xf numFmtId="0" fontId="1" fillId="0" borderId="0" xfId="0" applyFont="1" applyAlignment="1">
      <alignment horizontal="left" vertical="top" wrapText="1"/>
    </xf>
    <xf numFmtId="0" fontId="1" fillId="0" borderId="0" xfId="0" applyFont="1" applyAlignment="1">
      <alignment horizontal="left" vertical="top"/>
    </xf>
    <xf numFmtId="0" fontId="1" fillId="0" borderId="0" xfId="0" applyFont="1" applyAlignment="1">
      <alignment vertical="center" wrapText="1"/>
    </xf>
    <xf numFmtId="0" fontId="1" fillId="0" borderId="0" xfId="0" applyFont="1" applyAlignment="1">
      <alignment vertical="center"/>
    </xf>
    <xf numFmtId="0" fontId="4"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xf>
  </cellXfs>
  <cellStyles count="1">
    <cellStyle name="常规" xfId="0" builtinId="0"/>
  </cellStyles>
  <dxfs count="0"/>
  <tableStyles count="0" defaultTableStyle="TableStyleMedium2" defaultPivotStyle="PivotStyleLight16"/>
  <colors>
    <mruColors>
      <color rgb="FFF521E9"/>
      <color rgb="FFFFFFFF"/>
      <color rgb="FFFF00FF"/>
      <color rgb="FF2C10FA"/>
      <color rgb="FF0000FF"/>
      <color rgb="FFFFFF00"/>
      <color rgb="FF022AD4"/>
      <color rgb="FFFFF2CC"/>
      <color rgb="FF80808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200" b="1" i="0" u="none" strike="noStrike" kern="1200" baseline="0">
                <a:solidFill>
                  <a:srgbClr val="000000">
                    <a:alpha val="100000"/>
                  </a:srgbClr>
                </a:solidFill>
                <a:latin typeface="黑体" panose="02010609060101010101" charset="-122"/>
                <a:ea typeface="黑体" panose="02010609060101010101" charset="-122"/>
                <a:cs typeface="黑体" panose="02010609060101010101" charset="-122"/>
              </a:defRPr>
            </a:pPr>
            <a:r>
              <a:rPr lang="en-US"/>
              <a:t>P-Q</a:t>
            </a:r>
            <a:r>
              <a:rPr lang="zh-CN" altLang="en-US"/>
              <a:t>图表</a:t>
            </a:r>
            <a:endParaRPr lang="zh-CN" altLang="en-US" sz="1200" b="1" i="0" u="none" strike="noStrike" baseline="0">
              <a:solidFill>
                <a:srgbClr val="000000">
                  <a:alpha val="100000"/>
                </a:srgbClr>
              </a:solidFill>
              <a:latin typeface="黑体" panose="02010609060101010101" charset="-122"/>
              <a:ea typeface="黑体" panose="02010609060101010101" charset="-122"/>
              <a:cs typeface="黑体" panose="02010609060101010101" charset="-122"/>
            </a:endParaRPr>
          </a:p>
        </c:rich>
      </c:tx>
      <c:overlay val="0"/>
      <c:spPr>
        <a:noFill/>
        <a:ln w="3175">
          <a:noFill/>
        </a:ln>
      </c:spPr>
    </c:title>
    <c:autoTitleDeleted val="0"/>
    <c:plotArea>
      <c:layout>
        <c:manualLayout>
          <c:layoutTarget val="inner"/>
          <c:xMode val="edge"/>
          <c:yMode val="edge"/>
          <c:x val="9.0616503608150697E-2"/>
          <c:y val="5.5756501489133699E-2"/>
          <c:w val="0.88512906202961505"/>
          <c:h val="0.86152787784822704"/>
        </c:manualLayout>
      </c:layout>
      <c:scatterChart>
        <c:scatterStyle val="lineMarker"/>
        <c:varyColors val="0"/>
        <c:ser>
          <c:idx val="1"/>
          <c:order val="0"/>
          <c:tx>
            <c:v>压铸机名义ML线</c:v>
          </c:tx>
          <c:spPr>
            <a:ln w="25400" cap="rnd" cmpd="sng" algn="ctr">
              <a:solidFill>
                <a:srgbClr val="FF00FF">
                  <a:alpha val="100000"/>
                </a:srgbClr>
              </a:solidFill>
              <a:prstDash val="dashDot"/>
              <a:round/>
            </a:ln>
            <a:effectLst/>
          </c:spPr>
          <c:marker>
            <c:symbol val="square"/>
            <c:size val="3"/>
            <c:spPr>
              <a:solidFill>
                <a:srgbClr val="FFFFFF"/>
              </a:solidFill>
              <a:ln w="6350" cap="flat" cmpd="sng" algn="ctr">
                <a:solidFill>
                  <a:srgbClr val="FFFFFF">
                    <a:alpha val="0"/>
                  </a:srgbClr>
                </a:solidFill>
                <a:prstDash val="solid"/>
                <a:round/>
              </a:ln>
              <a:effectLst/>
            </c:spPr>
          </c:marker>
          <c:xVal>
            <c:numRef>
              <c:f>'Ｐ－Ｑ图分析'!$M$55:$M$105</c:f>
              <c:numCache>
                <c:formatCode>0.00_ </c:formatCode>
                <c:ptCount val="51"/>
                <c:pt idx="0">
                  <c:v>0</c:v>
                </c:pt>
                <c:pt idx="1">
                  <c:v>0.38484510006474965</c:v>
                </c:pt>
                <c:pt idx="2">
                  <c:v>0.76969020012949929</c:v>
                </c:pt>
                <c:pt idx="3">
                  <c:v>1.1545353001942489</c:v>
                </c:pt>
                <c:pt idx="4">
                  <c:v>1.5393804002589986</c:v>
                </c:pt>
                <c:pt idx="5">
                  <c:v>1.9242255003237483</c:v>
                </c:pt>
                <c:pt idx="6">
                  <c:v>2.3090706003884978</c:v>
                </c:pt>
                <c:pt idx="7">
                  <c:v>2.6939157004532475</c:v>
                </c:pt>
                <c:pt idx="8">
                  <c:v>3.0787608005179972</c:v>
                </c:pt>
                <c:pt idx="9">
                  <c:v>3.4636059005827469</c:v>
                </c:pt>
                <c:pt idx="10">
                  <c:v>3.8484510006474966</c:v>
                </c:pt>
                <c:pt idx="11">
                  <c:v>4.2332961007122458</c:v>
                </c:pt>
                <c:pt idx="12">
                  <c:v>4.6181412007769955</c:v>
                </c:pt>
                <c:pt idx="13">
                  <c:v>5.0029863008417452</c:v>
                </c:pt>
                <c:pt idx="14">
                  <c:v>5.3878314009064949</c:v>
                </c:pt>
                <c:pt idx="15">
                  <c:v>5.7726765009712446</c:v>
                </c:pt>
                <c:pt idx="16">
                  <c:v>6.1575216010359943</c:v>
                </c:pt>
                <c:pt idx="17">
                  <c:v>6.542366701100744</c:v>
                </c:pt>
                <c:pt idx="18">
                  <c:v>6.9272118011654937</c:v>
                </c:pt>
                <c:pt idx="19">
                  <c:v>7.3120569012302434</c:v>
                </c:pt>
                <c:pt idx="20">
                  <c:v>7.6969020012949931</c:v>
                </c:pt>
                <c:pt idx="21">
                  <c:v>8.0817471013597419</c:v>
                </c:pt>
                <c:pt idx="22">
                  <c:v>8.4665922014244916</c:v>
                </c:pt>
                <c:pt idx="23">
                  <c:v>8.8514373014892413</c:v>
                </c:pt>
                <c:pt idx="24">
                  <c:v>9.2362824015539911</c:v>
                </c:pt>
                <c:pt idx="25">
                  <c:v>9.6211275016187408</c:v>
                </c:pt>
                <c:pt idx="26">
                  <c:v>10.00597260168349</c:v>
                </c:pt>
                <c:pt idx="27">
                  <c:v>10.39081770174824</c:v>
                </c:pt>
                <c:pt idx="28">
                  <c:v>10.77566280181299</c:v>
                </c:pt>
                <c:pt idx="29">
                  <c:v>11.16050790187774</c:v>
                </c:pt>
                <c:pt idx="30">
                  <c:v>11.545353001942489</c:v>
                </c:pt>
                <c:pt idx="31">
                  <c:v>11.930198102007239</c:v>
                </c:pt>
                <c:pt idx="32">
                  <c:v>12.315043202071989</c:v>
                </c:pt>
                <c:pt idx="33">
                  <c:v>12.699888302136738</c:v>
                </c:pt>
                <c:pt idx="34">
                  <c:v>13.084733402201488</c:v>
                </c:pt>
                <c:pt idx="35">
                  <c:v>13.469578502266238</c:v>
                </c:pt>
                <c:pt idx="36">
                  <c:v>13.854423602330987</c:v>
                </c:pt>
                <c:pt idx="37">
                  <c:v>14.239268702395737</c:v>
                </c:pt>
                <c:pt idx="38">
                  <c:v>14.624113802460487</c:v>
                </c:pt>
                <c:pt idx="39">
                  <c:v>15.008958902525237</c:v>
                </c:pt>
                <c:pt idx="40">
                  <c:v>15.393804002589986</c:v>
                </c:pt>
                <c:pt idx="41">
                  <c:v>15.778649102654736</c:v>
                </c:pt>
                <c:pt idx="42">
                  <c:v>16.163494202719484</c:v>
                </c:pt>
                <c:pt idx="43">
                  <c:v>16.548339302784232</c:v>
                </c:pt>
                <c:pt idx="44">
                  <c:v>16.93318440284898</c:v>
                </c:pt>
                <c:pt idx="45">
                  <c:v>17.318029502913728</c:v>
                </c:pt>
                <c:pt idx="46">
                  <c:v>17.702874602978476</c:v>
                </c:pt>
                <c:pt idx="47">
                  <c:v>18.087719703043224</c:v>
                </c:pt>
                <c:pt idx="48">
                  <c:v>18.472564803107971</c:v>
                </c:pt>
                <c:pt idx="49">
                  <c:v>18.857409903172719</c:v>
                </c:pt>
                <c:pt idx="50">
                  <c:v>19.242255003237467</c:v>
                </c:pt>
              </c:numCache>
            </c:numRef>
          </c:xVal>
          <c:yVal>
            <c:numRef>
              <c:f>'Ｐ－Ｑ图分析'!$N$55:$N$105</c:f>
              <c:numCache>
                <c:formatCode>0.00_ </c:formatCode>
                <c:ptCount val="51"/>
                <c:pt idx="0">
                  <c:v>404.84693877551024</c:v>
                </c:pt>
                <c:pt idx="1">
                  <c:v>404.68500000000006</c:v>
                </c:pt>
                <c:pt idx="2">
                  <c:v>404.19918367346941</c:v>
                </c:pt>
                <c:pt idx="3">
                  <c:v>403.38948979591839</c:v>
                </c:pt>
                <c:pt idx="4">
                  <c:v>402.25591836734696</c:v>
                </c:pt>
                <c:pt idx="5">
                  <c:v>400.79846938775512</c:v>
                </c:pt>
                <c:pt idx="6">
                  <c:v>399.01714285714291</c:v>
                </c:pt>
                <c:pt idx="7">
                  <c:v>396.91193877551024</c:v>
                </c:pt>
                <c:pt idx="8">
                  <c:v>394.4828571428572</c:v>
                </c:pt>
                <c:pt idx="9">
                  <c:v>391.72989795918369</c:v>
                </c:pt>
                <c:pt idx="10">
                  <c:v>388.65306122448982</c:v>
                </c:pt>
                <c:pt idx="11">
                  <c:v>385.25234693877553</c:v>
                </c:pt>
                <c:pt idx="12">
                  <c:v>381.52775510204083</c:v>
                </c:pt>
                <c:pt idx="13">
                  <c:v>377.47928571428577</c:v>
                </c:pt>
                <c:pt idx="14">
                  <c:v>373.10693877551023</c:v>
                </c:pt>
                <c:pt idx="15">
                  <c:v>368.41071428571433</c:v>
                </c:pt>
                <c:pt idx="16">
                  <c:v>363.39061224489797</c:v>
                </c:pt>
                <c:pt idx="17">
                  <c:v>358.04663265306124</c:v>
                </c:pt>
                <c:pt idx="18">
                  <c:v>352.37877551020409</c:v>
                </c:pt>
                <c:pt idx="19">
                  <c:v>346.38704081632659</c:v>
                </c:pt>
                <c:pt idx="20">
                  <c:v>340.07142857142856</c:v>
                </c:pt>
                <c:pt idx="21">
                  <c:v>333.43193877551022</c:v>
                </c:pt>
                <c:pt idx="22">
                  <c:v>326.46857142857147</c:v>
                </c:pt>
                <c:pt idx="23">
                  <c:v>319.1813265306123</c:v>
                </c:pt>
                <c:pt idx="24">
                  <c:v>311.57020408163271</c:v>
                </c:pt>
                <c:pt idx="25">
                  <c:v>303.63520408163265</c:v>
                </c:pt>
                <c:pt idx="26">
                  <c:v>295.37632653061223</c:v>
                </c:pt>
                <c:pt idx="27">
                  <c:v>286.79357142857145</c:v>
                </c:pt>
                <c:pt idx="28">
                  <c:v>277.8869387755102</c:v>
                </c:pt>
                <c:pt idx="29">
                  <c:v>268.65642857142859</c:v>
                </c:pt>
                <c:pt idx="30">
                  <c:v>259.10204081632651</c:v>
                </c:pt>
                <c:pt idx="31">
                  <c:v>249.22377551020409</c:v>
                </c:pt>
                <c:pt idx="32">
                  <c:v>239.02163265306126</c:v>
                </c:pt>
                <c:pt idx="33">
                  <c:v>228.49561224489796</c:v>
                </c:pt>
                <c:pt idx="34">
                  <c:v>217.64571428571429</c:v>
                </c:pt>
                <c:pt idx="35">
                  <c:v>206.47193877551018</c:v>
                </c:pt>
                <c:pt idx="36">
                  <c:v>194.97428571428568</c:v>
                </c:pt>
                <c:pt idx="37">
                  <c:v>183.1527551020408</c:v>
                </c:pt>
                <c:pt idx="38">
                  <c:v>171.00734693877553</c:v>
                </c:pt>
                <c:pt idx="39">
                  <c:v>158.53806122448978</c:v>
                </c:pt>
                <c:pt idx="40">
                  <c:v>145.74489795918362</c:v>
                </c:pt>
                <c:pt idx="41">
                  <c:v>132.62785714285712</c:v>
                </c:pt>
                <c:pt idx="42">
                  <c:v>119.18693877551021</c:v>
                </c:pt>
                <c:pt idx="43">
                  <c:v>105.42214285714294</c:v>
                </c:pt>
                <c:pt idx="44">
                  <c:v>91.333469387755258</c:v>
                </c:pt>
                <c:pt idx="45">
                  <c:v>76.920918367347213</c:v>
                </c:pt>
                <c:pt idx="46">
                  <c:v>62.184489795918637</c:v>
                </c:pt>
                <c:pt idx="47">
                  <c:v>47.124183673469759</c:v>
                </c:pt>
                <c:pt idx="48">
                  <c:v>31.740000000000464</c:v>
                </c:pt>
                <c:pt idx="49">
                  <c:v>16.031938775510753</c:v>
                </c:pt>
                <c:pt idx="50">
                  <c:v>5.6843418860808015E-13</c:v>
                </c:pt>
              </c:numCache>
            </c:numRef>
          </c:yVal>
          <c:smooth val="1"/>
          <c:extLst>
            <c:ext xmlns:c16="http://schemas.microsoft.com/office/drawing/2014/chart" uri="{C3380CC4-5D6E-409C-BE32-E72D297353CC}">
              <c16:uniqueId val="{00000000-B441-4382-B4C3-A1D0B2ED4769}"/>
            </c:ext>
          </c:extLst>
        </c:ser>
        <c:ser>
          <c:idx val="0"/>
          <c:order val="1"/>
          <c:tx>
            <c:v>压铸机设定ML线</c:v>
          </c:tx>
          <c:spPr>
            <a:ln w="25400" cap="rnd" cmpd="sng" algn="ctr">
              <a:solidFill>
                <a:srgbClr val="0000FF">
                  <a:alpha val="100000"/>
                </a:srgbClr>
              </a:solidFill>
              <a:prstDash val="solid"/>
              <a:round/>
            </a:ln>
            <a:effectLst/>
          </c:spPr>
          <c:marker>
            <c:symbol val="none"/>
          </c:marker>
          <c:xVal>
            <c:numRef>
              <c:f>'Ｐ－Ｑ图分析'!$M$55:$M$105</c:f>
              <c:numCache>
                <c:formatCode>0.00_ </c:formatCode>
                <c:ptCount val="51"/>
                <c:pt idx="0">
                  <c:v>0</c:v>
                </c:pt>
                <c:pt idx="1">
                  <c:v>0.38484510006474965</c:v>
                </c:pt>
                <c:pt idx="2">
                  <c:v>0.76969020012949929</c:v>
                </c:pt>
                <c:pt idx="3">
                  <c:v>1.1545353001942489</c:v>
                </c:pt>
                <c:pt idx="4">
                  <c:v>1.5393804002589986</c:v>
                </c:pt>
                <c:pt idx="5">
                  <c:v>1.9242255003237483</c:v>
                </c:pt>
                <c:pt idx="6">
                  <c:v>2.3090706003884978</c:v>
                </c:pt>
                <c:pt idx="7">
                  <c:v>2.6939157004532475</c:v>
                </c:pt>
                <c:pt idx="8">
                  <c:v>3.0787608005179972</c:v>
                </c:pt>
                <c:pt idx="9">
                  <c:v>3.4636059005827469</c:v>
                </c:pt>
                <c:pt idx="10">
                  <c:v>3.8484510006474966</c:v>
                </c:pt>
                <c:pt idx="11">
                  <c:v>4.2332961007122458</c:v>
                </c:pt>
                <c:pt idx="12">
                  <c:v>4.6181412007769955</c:v>
                </c:pt>
                <c:pt idx="13">
                  <c:v>5.0029863008417452</c:v>
                </c:pt>
                <c:pt idx="14">
                  <c:v>5.3878314009064949</c:v>
                </c:pt>
                <c:pt idx="15">
                  <c:v>5.7726765009712446</c:v>
                </c:pt>
                <c:pt idx="16">
                  <c:v>6.1575216010359943</c:v>
                </c:pt>
                <c:pt idx="17">
                  <c:v>6.542366701100744</c:v>
                </c:pt>
                <c:pt idx="18">
                  <c:v>6.9272118011654937</c:v>
                </c:pt>
                <c:pt idx="19">
                  <c:v>7.3120569012302434</c:v>
                </c:pt>
                <c:pt idx="20">
                  <c:v>7.6969020012949931</c:v>
                </c:pt>
                <c:pt idx="21">
                  <c:v>8.0817471013597419</c:v>
                </c:pt>
                <c:pt idx="22">
                  <c:v>8.4665922014244916</c:v>
                </c:pt>
                <c:pt idx="23">
                  <c:v>8.8514373014892413</c:v>
                </c:pt>
                <c:pt idx="24">
                  <c:v>9.2362824015539911</c:v>
                </c:pt>
                <c:pt idx="25">
                  <c:v>9.6211275016187408</c:v>
                </c:pt>
                <c:pt idx="26">
                  <c:v>10.00597260168349</c:v>
                </c:pt>
                <c:pt idx="27">
                  <c:v>10.39081770174824</c:v>
                </c:pt>
                <c:pt idx="28">
                  <c:v>10.77566280181299</c:v>
                </c:pt>
                <c:pt idx="29">
                  <c:v>11.16050790187774</c:v>
                </c:pt>
                <c:pt idx="30">
                  <c:v>11.545353001942489</c:v>
                </c:pt>
                <c:pt idx="31">
                  <c:v>11.930198102007239</c:v>
                </c:pt>
                <c:pt idx="32">
                  <c:v>12.315043202071989</c:v>
                </c:pt>
                <c:pt idx="33">
                  <c:v>12.699888302136738</c:v>
                </c:pt>
                <c:pt idx="34">
                  <c:v>13.084733402201488</c:v>
                </c:pt>
                <c:pt idx="35">
                  <c:v>13.469578502266238</c:v>
                </c:pt>
                <c:pt idx="36">
                  <c:v>13.854423602330987</c:v>
                </c:pt>
                <c:pt idx="37">
                  <c:v>14.239268702395737</c:v>
                </c:pt>
                <c:pt idx="38">
                  <c:v>14.624113802460487</c:v>
                </c:pt>
                <c:pt idx="39">
                  <c:v>15.008958902525237</c:v>
                </c:pt>
                <c:pt idx="40">
                  <c:v>15.393804002589986</c:v>
                </c:pt>
                <c:pt idx="41">
                  <c:v>15.778649102654736</c:v>
                </c:pt>
                <c:pt idx="42">
                  <c:v>16.163494202719484</c:v>
                </c:pt>
                <c:pt idx="43">
                  <c:v>16.548339302784232</c:v>
                </c:pt>
                <c:pt idx="44">
                  <c:v>16.93318440284898</c:v>
                </c:pt>
                <c:pt idx="45">
                  <c:v>17.318029502913728</c:v>
                </c:pt>
                <c:pt idx="46">
                  <c:v>17.702874602978476</c:v>
                </c:pt>
                <c:pt idx="47">
                  <c:v>18.087719703043224</c:v>
                </c:pt>
                <c:pt idx="48">
                  <c:v>18.472564803107971</c:v>
                </c:pt>
                <c:pt idx="49">
                  <c:v>18.857409903172719</c:v>
                </c:pt>
                <c:pt idx="50">
                  <c:v>19.242255003237467</c:v>
                </c:pt>
              </c:numCache>
            </c:numRef>
          </c:xVal>
          <c:yVal>
            <c:numRef>
              <c:f>'Ｐ－Ｑ图分析'!$O$55:$O$105</c:f>
              <c:numCache>
                <c:formatCode>0.00_ </c:formatCode>
                <c:ptCount val="51"/>
                <c:pt idx="0">
                  <c:v>377.85714285714289</c:v>
                </c:pt>
                <c:pt idx="1">
                  <c:v>377.20938775510206</c:v>
                </c:pt>
                <c:pt idx="2">
                  <c:v>375.26612244897962</c:v>
                </c:pt>
                <c:pt idx="3">
                  <c:v>372.02734693877557</c:v>
                </c:pt>
                <c:pt idx="4">
                  <c:v>367.49306122448985</c:v>
                </c:pt>
                <c:pt idx="5">
                  <c:v>361.66326530612247</c:v>
                </c:pt>
                <c:pt idx="6">
                  <c:v>354.53795918367348</c:v>
                </c:pt>
                <c:pt idx="7">
                  <c:v>346.11714285714288</c:v>
                </c:pt>
                <c:pt idx="8">
                  <c:v>336.40081632653062</c:v>
                </c:pt>
                <c:pt idx="9">
                  <c:v>325.38897959183674</c:v>
                </c:pt>
                <c:pt idx="10">
                  <c:v>313.08163265306121</c:v>
                </c:pt>
                <c:pt idx="11">
                  <c:v>299.47877551020412</c:v>
                </c:pt>
                <c:pt idx="12">
                  <c:v>284.58040816326536</c:v>
                </c:pt>
                <c:pt idx="13">
                  <c:v>268.38653061224494</c:v>
                </c:pt>
                <c:pt idx="14">
                  <c:v>250.89714285714285</c:v>
                </c:pt>
                <c:pt idx="15">
                  <c:v>232.11224489795919</c:v>
                </c:pt>
                <c:pt idx="16">
                  <c:v>212.03183673469391</c:v>
                </c:pt>
                <c:pt idx="17">
                  <c:v>190.65591836734691</c:v>
                </c:pt>
                <c:pt idx="18">
                  <c:v>167.98448979591836</c:v>
                </c:pt>
                <c:pt idx="19">
                  <c:v>144.01755102040815</c:v>
                </c:pt>
                <c:pt idx="20">
                  <c:v>118.75510204081627</c:v>
                </c:pt>
                <c:pt idx="21">
                  <c:v>92.197142857142921</c:v>
                </c:pt>
                <c:pt idx="22">
                  <c:v>64.343673469387795</c:v>
                </c:pt>
                <c:pt idx="23">
                  <c:v>35.19469387755106</c:v>
                </c:pt>
                <c:pt idx="24">
                  <c:v>4.7502040816326598</c:v>
                </c:pt>
                <c:pt idx="25">
                  <c:v>-26.989795918367349</c:v>
                </c:pt>
                <c:pt idx="26">
                  <c:v>-60.025306122448967</c:v>
                </c:pt>
                <c:pt idx="27">
                  <c:v>-94.356326530612307</c:v>
                </c:pt>
                <c:pt idx="28">
                  <c:v>-129.9828571428572</c:v>
                </c:pt>
                <c:pt idx="29">
                  <c:v>-166.9048979591837</c:v>
                </c:pt>
                <c:pt idx="30">
                  <c:v>-205.12244897959192</c:v>
                </c:pt>
                <c:pt idx="31">
                  <c:v>-244.6355102040817</c:v>
                </c:pt>
                <c:pt idx="32">
                  <c:v>-285.44408163265302</c:v>
                </c:pt>
                <c:pt idx="33">
                  <c:v>-327.54816326530624</c:v>
                </c:pt>
                <c:pt idx="34">
                  <c:v>-370.94775510204101</c:v>
                </c:pt>
                <c:pt idx="35">
                  <c:v>-415.64285714285745</c:v>
                </c:pt>
                <c:pt idx="36">
                  <c:v>-461.63346938775521</c:v>
                </c:pt>
                <c:pt idx="37">
                  <c:v>-508.91959183673498</c:v>
                </c:pt>
                <c:pt idx="38">
                  <c:v>-557.50122448979607</c:v>
                </c:pt>
                <c:pt idx="39">
                  <c:v>-607.37836734693883</c:v>
                </c:pt>
                <c:pt idx="40">
                  <c:v>-658.55102040816359</c:v>
                </c:pt>
                <c:pt idx="41">
                  <c:v>-711.0191836734698</c:v>
                </c:pt>
                <c:pt idx="42">
                  <c:v>-764.78285714285698</c:v>
                </c:pt>
                <c:pt idx="43">
                  <c:v>-819.84204081632629</c:v>
                </c:pt>
                <c:pt idx="44">
                  <c:v>-876.19673469387703</c:v>
                </c:pt>
                <c:pt idx="45">
                  <c:v>-933.84693877550944</c:v>
                </c:pt>
                <c:pt idx="46">
                  <c:v>-992.79265306122329</c:v>
                </c:pt>
                <c:pt idx="47">
                  <c:v>-1053.033877551019</c:v>
                </c:pt>
                <c:pt idx="48">
                  <c:v>-1114.5706122448962</c:v>
                </c:pt>
                <c:pt idx="49">
                  <c:v>-1177.4028571428551</c:v>
                </c:pt>
                <c:pt idx="50">
                  <c:v>-1241.5306122448956</c:v>
                </c:pt>
              </c:numCache>
            </c:numRef>
          </c:yVal>
          <c:smooth val="1"/>
          <c:extLst>
            <c:ext xmlns:c16="http://schemas.microsoft.com/office/drawing/2014/chart" uri="{C3380CC4-5D6E-409C-BE32-E72D297353CC}">
              <c16:uniqueId val="{00000001-B441-4382-B4C3-A1D0B2ED4769}"/>
            </c:ext>
          </c:extLst>
        </c:ser>
        <c:ser>
          <c:idx val="2"/>
          <c:order val="2"/>
          <c:tx>
            <c:v>设定最大速度线</c:v>
          </c:tx>
          <c:spPr>
            <a:ln w="25400" cap="rnd" cmpd="sng" algn="ctr">
              <a:solidFill>
                <a:srgbClr val="00FFFF">
                  <a:alpha val="100000"/>
                </a:srgbClr>
              </a:solidFill>
              <a:prstDash val="solid"/>
              <a:round/>
            </a:ln>
            <a:effectLst/>
          </c:spPr>
          <c:marker>
            <c:symbol val="none"/>
          </c:marker>
          <c:xVal>
            <c:numRef>
              <c:f>'Ｐ－Ｑ图分析'!$V$55:$V$105</c:f>
              <c:numCache>
                <c:formatCode>0.00_ </c:formatCode>
                <c:ptCount val="51"/>
                <c:pt idx="0">
                  <c:v>0</c:v>
                </c:pt>
                <c:pt idx="1">
                  <c:v>0.44817927170868349</c:v>
                </c:pt>
                <c:pt idx="2">
                  <c:v>0.89635854341736698</c:v>
                </c:pt>
                <c:pt idx="3">
                  <c:v>1.3445378151260505</c:v>
                </c:pt>
                <c:pt idx="4">
                  <c:v>1.792717086834734</c:v>
                </c:pt>
                <c:pt idx="5">
                  <c:v>2.2408963585434174</c:v>
                </c:pt>
                <c:pt idx="6">
                  <c:v>2.6890756302521011</c:v>
                </c:pt>
                <c:pt idx="7">
                  <c:v>3.1372549019607847</c:v>
                </c:pt>
                <c:pt idx="8">
                  <c:v>3.5854341736694684</c:v>
                </c:pt>
                <c:pt idx="9">
                  <c:v>4.033613445378152</c:v>
                </c:pt>
                <c:pt idx="10">
                  <c:v>4.4817927170868357</c:v>
                </c:pt>
                <c:pt idx="11">
                  <c:v>4.9299719887955193</c:v>
                </c:pt>
                <c:pt idx="12">
                  <c:v>5.378151260504203</c:v>
                </c:pt>
                <c:pt idx="13">
                  <c:v>5.8263305322128867</c:v>
                </c:pt>
                <c:pt idx="14">
                  <c:v>6.2745098039215703</c:v>
                </c:pt>
                <c:pt idx="15">
                  <c:v>6.722689075630254</c:v>
                </c:pt>
                <c:pt idx="16">
                  <c:v>7.1708683473389376</c:v>
                </c:pt>
                <c:pt idx="17">
                  <c:v>7.6190476190476213</c:v>
                </c:pt>
                <c:pt idx="18">
                  <c:v>8.0672268907563041</c:v>
                </c:pt>
                <c:pt idx="19">
                  <c:v>8.5154061624649877</c:v>
                </c:pt>
                <c:pt idx="20">
                  <c:v>8.9635854341736714</c:v>
                </c:pt>
                <c:pt idx="21">
                  <c:v>9.411764705882355</c:v>
                </c:pt>
                <c:pt idx="22">
                  <c:v>9.8599439775910387</c:v>
                </c:pt>
                <c:pt idx="23">
                  <c:v>10.308123249299722</c:v>
                </c:pt>
                <c:pt idx="24">
                  <c:v>10.756302521008406</c:v>
                </c:pt>
                <c:pt idx="25">
                  <c:v>11.20448179271709</c:v>
                </c:pt>
                <c:pt idx="26">
                  <c:v>11.652661064425773</c:v>
                </c:pt>
                <c:pt idx="27">
                  <c:v>12.100840336134457</c:v>
                </c:pt>
                <c:pt idx="28">
                  <c:v>12.549019607843141</c:v>
                </c:pt>
                <c:pt idx="29">
                  <c:v>12.997198879551824</c:v>
                </c:pt>
                <c:pt idx="30">
                  <c:v>13.445378151260508</c:v>
                </c:pt>
                <c:pt idx="31">
                  <c:v>13.893557422969192</c:v>
                </c:pt>
                <c:pt idx="32">
                  <c:v>14.341736694677875</c:v>
                </c:pt>
                <c:pt idx="33">
                  <c:v>14.789915966386559</c:v>
                </c:pt>
                <c:pt idx="34">
                  <c:v>15.238095238095243</c:v>
                </c:pt>
                <c:pt idx="35">
                  <c:v>15.686274509803926</c:v>
                </c:pt>
                <c:pt idx="36">
                  <c:v>16.134453781512608</c:v>
                </c:pt>
                <c:pt idx="37">
                  <c:v>16.58263305322129</c:v>
                </c:pt>
                <c:pt idx="38">
                  <c:v>17.030812324929972</c:v>
                </c:pt>
                <c:pt idx="39">
                  <c:v>17.478991596638654</c:v>
                </c:pt>
                <c:pt idx="40">
                  <c:v>17.927170868347336</c:v>
                </c:pt>
                <c:pt idx="41">
                  <c:v>18.375350140056018</c:v>
                </c:pt>
                <c:pt idx="42">
                  <c:v>18.823529411764699</c:v>
                </c:pt>
                <c:pt idx="43">
                  <c:v>19.271708683473381</c:v>
                </c:pt>
                <c:pt idx="44">
                  <c:v>19.719887955182063</c:v>
                </c:pt>
                <c:pt idx="45">
                  <c:v>20.168067226890745</c:v>
                </c:pt>
                <c:pt idx="46">
                  <c:v>20.616246498599427</c:v>
                </c:pt>
                <c:pt idx="47">
                  <c:v>21.064425770308109</c:v>
                </c:pt>
                <c:pt idx="48">
                  <c:v>21.512605042016791</c:v>
                </c:pt>
                <c:pt idx="49">
                  <c:v>21.960784313725473</c:v>
                </c:pt>
                <c:pt idx="50">
                  <c:v>22.408963585434154</c:v>
                </c:pt>
              </c:numCache>
            </c:numRef>
          </c:xVal>
          <c:yVal>
            <c:numRef>
              <c:f>'Ｐ－Ｑ图分析'!$P$55:$P$105</c:f>
              <c:numCache>
                <c:formatCode>0.00_ </c:formatCode>
                <c:ptCount val="51"/>
                <c:pt idx="0">
                  <c:v>9.576666666666668</c:v>
                </c:pt>
                <c:pt idx="1">
                  <c:v>9.576666666666668</c:v>
                </c:pt>
                <c:pt idx="2">
                  <c:v>9.576666666666668</c:v>
                </c:pt>
                <c:pt idx="3">
                  <c:v>9.576666666666668</c:v>
                </c:pt>
                <c:pt idx="4">
                  <c:v>9.576666666666668</c:v>
                </c:pt>
                <c:pt idx="5">
                  <c:v>9.576666666666668</c:v>
                </c:pt>
                <c:pt idx="6">
                  <c:v>9.576666666666668</c:v>
                </c:pt>
                <c:pt idx="7">
                  <c:v>9.576666666666668</c:v>
                </c:pt>
                <c:pt idx="8">
                  <c:v>9.576666666666668</c:v>
                </c:pt>
                <c:pt idx="9">
                  <c:v>9.576666666666668</c:v>
                </c:pt>
                <c:pt idx="10">
                  <c:v>9.576666666666668</c:v>
                </c:pt>
                <c:pt idx="11">
                  <c:v>9.576666666666668</c:v>
                </c:pt>
                <c:pt idx="12">
                  <c:v>9.576666666666668</c:v>
                </c:pt>
                <c:pt idx="13">
                  <c:v>9.576666666666668</c:v>
                </c:pt>
                <c:pt idx="14">
                  <c:v>9.576666666666668</c:v>
                </c:pt>
                <c:pt idx="15">
                  <c:v>9.576666666666668</c:v>
                </c:pt>
                <c:pt idx="16">
                  <c:v>9.576666666666668</c:v>
                </c:pt>
                <c:pt idx="17">
                  <c:v>9.576666666666668</c:v>
                </c:pt>
                <c:pt idx="18">
                  <c:v>9.576666666666668</c:v>
                </c:pt>
                <c:pt idx="19">
                  <c:v>9.576666666666668</c:v>
                </c:pt>
                <c:pt idx="20">
                  <c:v>9.576666666666668</c:v>
                </c:pt>
                <c:pt idx="21">
                  <c:v>9.576666666666668</c:v>
                </c:pt>
                <c:pt idx="22">
                  <c:v>9.576666666666668</c:v>
                </c:pt>
                <c:pt idx="23">
                  <c:v>9.576666666666668</c:v>
                </c:pt>
                <c:pt idx="24">
                  <c:v>9.576666666666668</c:v>
                </c:pt>
                <c:pt idx="25">
                  <c:v>9.576666666666668</c:v>
                </c:pt>
                <c:pt idx="26">
                  <c:v>9.576666666666668</c:v>
                </c:pt>
                <c:pt idx="27">
                  <c:v>9.576666666666668</c:v>
                </c:pt>
                <c:pt idx="28">
                  <c:v>9.576666666666668</c:v>
                </c:pt>
                <c:pt idx="29">
                  <c:v>9.576666666666668</c:v>
                </c:pt>
                <c:pt idx="30">
                  <c:v>9.576666666666668</c:v>
                </c:pt>
                <c:pt idx="31">
                  <c:v>9.576666666666668</c:v>
                </c:pt>
                <c:pt idx="32">
                  <c:v>9.576666666666668</c:v>
                </c:pt>
                <c:pt idx="33">
                  <c:v>9.576666666666668</c:v>
                </c:pt>
                <c:pt idx="34">
                  <c:v>9.576666666666668</c:v>
                </c:pt>
                <c:pt idx="35">
                  <c:v>9.576666666666668</c:v>
                </c:pt>
                <c:pt idx="36">
                  <c:v>9.576666666666668</c:v>
                </c:pt>
                <c:pt idx="37">
                  <c:v>9.576666666666668</c:v>
                </c:pt>
                <c:pt idx="38">
                  <c:v>9.576666666666668</c:v>
                </c:pt>
                <c:pt idx="39">
                  <c:v>9.576666666666668</c:v>
                </c:pt>
                <c:pt idx="40">
                  <c:v>9.576666666666668</c:v>
                </c:pt>
                <c:pt idx="41">
                  <c:v>9.576666666666668</c:v>
                </c:pt>
                <c:pt idx="42">
                  <c:v>9.576666666666668</c:v>
                </c:pt>
                <c:pt idx="43">
                  <c:v>9.576666666666668</c:v>
                </c:pt>
                <c:pt idx="44">
                  <c:v>9.576666666666668</c:v>
                </c:pt>
                <c:pt idx="45">
                  <c:v>9.576666666666668</c:v>
                </c:pt>
                <c:pt idx="46">
                  <c:v>9.576666666666668</c:v>
                </c:pt>
                <c:pt idx="47">
                  <c:v>9.576666666666668</c:v>
                </c:pt>
                <c:pt idx="48">
                  <c:v>9.576666666666668</c:v>
                </c:pt>
                <c:pt idx="49">
                  <c:v>9.576666666666668</c:v>
                </c:pt>
                <c:pt idx="50">
                  <c:v>9.576666666666668</c:v>
                </c:pt>
              </c:numCache>
            </c:numRef>
          </c:yVal>
          <c:smooth val="1"/>
          <c:extLst>
            <c:ext xmlns:c16="http://schemas.microsoft.com/office/drawing/2014/chart" uri="{C3380CC4-5D6E-409C-BE32-E72D297353CC}">
              <c16:uniqueId val="{00000002-B441-4382-B4C3-A1D0B2ED4769}"/>
            </c:ext>
          </c:extLst>
        </c:ser>
        <c:ser>
          <c:idx val="3"/>
          <c:order val="3"/>
          <c:tx>
            <c:v>设定最小速度线</c:v>
          </c:tx>
          <c:spPr>
            <a:ln w="25400" cap="rnd" cmpd="sng" algn="ctr">
              <a:solidFill>
                <a:srgbClr val="FFFF00">
                  <a:alpha val="100000"/>
                </a:srgbClr>
              </a:solidFill>
              <a:prstDash val="solid"/>
              <a:round/>
            </a:ln>
            <a:effectLst/>
          </c:spPr>
          <c:marker>
            <c:symbol val="none"/>
          </c:marker>
          <c:xVal>
            <c:numRef>
              <c:f>'Ｐ－Ｑ图分析'!$V$55:$V$105</c:f>
              <c:numCache>
                <c:formatCode>0.00_ </c:formatCode>
                <c:ptCount val="51"/>
                <c:pt idx="0">
                  <c:v>0</c:v>
                </c:pt>
                <c:pt idx="1">
                  <c:v>0.44817927170868349</c:v>
                </c:pt>
                <c:pt idx="2">
                  <c:v>0.89635854341736698</c:v>
                </c:pt>
                <c:pt idx="3">
                  <c:v>1.3445378151260505</c:v>
                </c:pt>
                <c:pt idx="4">
                  <c:v>1.792717086834734</c:v>
                </c:pt>
                <c:pt idx="5">
                  <c:v>2.2408963585434174</c:v>
                </c:pt>
                <c:pt idx="6">
                  <c:v>2.6890756302521011</c:v>
                </c:pt>
                <c:pt idx="7">
                  <c:v>3.1372549019607847</c:v>
                </c:pt>
                <c:pt idx="8">
                  <c:v>3.5854341736694684</c:v>
                </c:pt>
                <c:pt idx="9">
                  <c:v>4.033613445378152</c:v>
                </c:pt>
                <c:pt idx="10">
                  <c:v>4.4817927170868357</c:v>
                </c:pt>
                <c:pt idx="11">
                  <c:v>4.9299719887955193</c:v>
                </c:pt>
                <c:pt idx="12">
                  <c:v>5.378151260504203</c:v>
                </c:pt>
                <c:pt idx="13">
                  <c:v>5.8263305322128867</c:v>
                </c:pt>
                <c:pt idx="14">
                  <c:v>6.2745098039215703</c:v>
                </c:pt>
                <c:pt idx="15">
                  <c:v>6.722689075630254</c:v>
                </c:pt>
                <c:pt idx="16">
                  <c:v>7.1708683473389376</c:v>
                </c:pt>
                <c:pt idx="17">
                  <c:v>7.6190476190476213</c:v>
                </c:pt>
                <c:pt idx="18">
                  <c:v>8.0672268907563041</c:v>
                </c:pt>
                <c:pt idx="19">
                  <c:v>8.5154061624649877</c:v>
                </c:pt>
                <c:pt idx="20">
                  <c:v>8.9635854341736714</c:v>
                </c:pt>
                <c:pt idx="21">
                  <c:v>9.411764705882355</c:v>
                </c:pt>
                <c:pt idx="22">
                  <c:v>9.8599439775910387</c:v>
                </c:pt>
                <c:pt idx="23">
                  <c:v>10.308123249299722</c:v>
                </c:pt>
                <c:pt idx="24">
                  <c:v>10.756302521008406</c:v>
                </c:pt>
                <c:pt idx="25">
                  <c:v>11.20448179271709</c:v>
                </c:pt>
                <c:pt idx="26">
                  <c:v>11.652661064425773</c:v>
                </c:pt>
                <c:pt idx="27">
                  <c:v>12.100840336134457</c:v>
                </c:pt>
                <c:pt idx="28">
                  <c:v>12.549019607843141</c:v>
                </c:pt>
                <c:pt idx="29">
                  <c:v>12.997198879551824</c:v>
                </c:pt>
                <c:pt idx="30">
                  <c:v>13.445378151260508</c:v>
                </c:pt>
                <c:pt idx="31">
                  <c:v>13.893557422969192</c:v>
                </c:pt>
                <c:pt idx="32">
                  <c:v>14.341736694677875</c:v>
                </c:pt>
                <c:pt idx="33">
                  <c:v>14.789915966386559</c:v>
                </c:pt>
                <c:pt idx="34">
                  <c:v>15.238095238095243</c:v>
                </c:pt>
                <c:pt idx="35">
                  <c:v>15.686274509803926</c:v>
                </c:pt>
                <c:pt idx="36">
                  <c:v>16.134453781512608</c:v>
                </c:pt>
                <c:pt idx="37">
                  <c:v>16.58263305322129</c:v>
                </c:pt>
                <c:pt idx="38">
                  <c:v>17.030812324929972</c:v>
                </c:pt>
                <c:pt idx="39">
                  <c:v>17.478991596638654</c:v>
                </c:pt>
                <c:pt idx="40">
                  <c:v>17.927170868347336</c:v>
                </c:pt>
                <c:pt idx="41">
                  <c:v>18.375350140056018</c:v>
                </c:pt>
                <c:pt idx="42">
                  <c:v>18.823529411764699</c:v>
                </c:pt>
                <c:pt idx="43">
                  <c:v>19.271708683473381</c:v>
                </c:pt>
                <c:pt idx="44">
                  <c:v>19.719887955182063</c:v>
                </c:pt>
                <c:pt idx="45">
                  <c:v>20.168067226890745</c:v>
                </c:pt>
                <c:pt idx="46">
                  <c:v>20.616246498599427</c:v>
                </c:pt>
                <c:pt idx="47">
                  <c:v>21.064425770308109</c:v>
                </c:pt>
                <c:pt idx="48">
                  <c:v>21.512605042016791</c:v>
                </c:pt>
                <c:pt idx="49">
                  <c:v>21.960784313725473</c:v>
                </c:pt>
                <c:pt idx="50">
                  <c:v>22.408963585434154</c:v>
                </c:pt>
              </c:numCache>
            </c:numRef>
          </c:xVal>
          <c:yVal>
            <c:numRef>
              <c:f>'Ｐ－Ｑ图分析'!$Q$55:$Q$105</c:f>
              <c:numCache>
                <c:formatCode>0.00_ </c:formatCode>
                <c:ptCount val="51"/>
                <c:pt idx="0">
                  <c:v>3.4476</c:v>
                </c:pt>
                <c:pt idx="1">
                  <c:v>3.4476</c:v>
                </c:pt>
                <c:pt idx="2">
                  <c:v>3.4476</c:v>
                </c:pt>
                <c:pt idx="3">
                  <c:v>3.4476</c:v>
                </c:pt>
                <c:pt idx="4">
                  <c:v>3.4476</c:v>
                </c:pt>
                <c:pt idx="5">
                  <c:v>3.4476</c:v>
                </c:pt>
                <c:pt idx="6">
                  <c:v>3.4476</c:v>
                </c:pt>
                <c:pt idx="7">
                  <c:v>3.4476</c:v>
                </c:pt>
                <c:pt idx="8">
                  <c:v>3.4476</c:v>
                </c:pt>
                <c:pt idx="9">
                  <c:v>3.4476</c:v>
                </c:pt>
                <c:pt idx="10">
                  <c:v>3.4476</c:v>
                </c:pt>
                <c:pt idx="11">
                  <c:v>3.4476</c:v>
                </c:pt>
                <c:pt idx="12">
                  <c:v>3.4476</c:v>
                </c:pt>
                <c:pt idx="13">
                  <c:v>3.4476</c:v>
                </c:pt>
                <c:pt idx="14">
                  <c:v>3.4476</c:v>
                </c:pt>
                <c:pt idx="15">
                  <c:v>3.4476</c:v>
                </c:pt>
                <c:pt idx="16">
                  <c:v>3.4476</c:v>
                </c:pt>
                <c:pt idx="17">
                  <c:v>3.4476</c:v>
                </c:pt>
                <c:pt idx="18">
                  <c:v>3.4476</c:v>
                </c:pt>
                <c:pt idx="19">
                  <c:v>3.4476</c:v>
                </c:pt>
                <c:pt idx="20">
                  <c:v>3.4476</c:v>
                </c:pt>
                <c:pt idx="21">
                  <c:v>3.4476</c:v>
                </c:pt>
                <c:pt idx="22">
                  <c:v>3.4476</c:v>
                </c:pt>
                <c:pt idx="23">
                  <c:v>3.4476</c:v>
                </c:pt>
                <c:pt idx="24">
                  <c:v>3.4476</c:v>
                </c:pt>
                <c:pt idx="25">
                  <c:v>3.4476</c:v>
                </c:pt>
                <c:pt idx="26">
                  <c:v>3.4476</c:v>
                </c:pt>
                <c:pt idx="27">
                  <c:v>3.4476</c:v>
                </c:pt>
                <c:pt idx="28">
                  <c:v>3.4476</c:v>
                </c:pt>
                <c:pt idx="29">
                  <c:v>3.4476</c:v>
                </c:pt>
                <c:pt idx="30">
                  <c:v>3.4476</c:v>
                </c:pt>
                <c:pt idx="31">
                  <c:v>3.4476</c:v>
                </c:pt>
                <c:pt idx="32">
                  <c:v>3.4476</c:v>
                </c:pt>
                <c:pt idx="33">
                  <c:v>3.4476</c:v>
                </c:pt>
                <c:pt idx="34">
                  <c:v>3.4476</c:v>
                </c:pt>
                <c:pt idx="35">
                  <c:v>3.4476</c:v>
                </c:pt>
                <c:pt idx="36">
                  <c:v>3.4476</c:v>
                </c:pt>
                <c:pt idx="37">
                  <c:v>3.4476</c:v>
                </c:pt>
                <c:pt idx="38">
                  <c:v>3.4476</c:v>
                </c:pt>
                <c:pt idx="39">
                  <c:v>3.4476</c:v>
                </c:pt>
                <c:pt idx="40">
                  <c:v>3.4476</c:v>
                </c:pt>
                <c:pt idx="41">
                  <c:v>3.4476</c:v>
                </c:pt>
                <c:pt idx="42">
                  <c:v>3.4476</c:v>
                </c:pt>
                <c:pt idx="43">
                  <c:v>3.4476</c:v>
                </c:pt>
                <c:pt idx="44">
                  <c:v>3.4476</c:v>
                </c:pt>
                <c:pt idx="45">
                  <c:v>3.4476</c:v>
                </c:pt>
                <c:pt idx="46">
                  <c:v>3.4476</c:v>
                </c:pt>
                <c:pt idx="47">
                  <c:v>3.4476</c:v>
                </c:pt>
                <c:pt idx="48">
                  <c:v>3.4476</c:v>
                </c:pt>
                <c:pt idx="49">
                  <c:v>3.4476</c:v>
                </c:pt>
                <c:pt idx="50">
                  <c:v>3.4476</c:v>
                </c:pt>
              </c:numCache>
            </c:numRef>
          </c:yVal>
          <c:smooth val="1"/>
          <c:extLst>
            <c:ext xmlns:c16="http://schemas.microsoft.com/office/drawing/2014/chart" uri="{C3380CC4-5D6E-409C-BE32-E72D297353CC}">
              <c16:uniqueId val="{00000003-B441-4382-B4C3-A1D0B2ED4769}"/>
            </c:ext>
          </c:extLst>
        </c:ser>
        <c:ser>
          <c:idx val="5"/>
          <c:order val="4"/>
          <c:tx>
            <c:v>最短充型时间线</c:v>
          </c:tx>
          <c:spPr>
            <a:ln w="25400" cap="rnd" cmpd="sng" algn="ctr">
              <a:solidFill>
                <a:srgbClr val="993366">
                  <a:alpha val="100000"/>
                </a:srgbClr>
              </a:solidFill>
              <a:prstDash val="solid"/>
              <a:round/>
            </a:ln>
            <a:effectLst/>
          </c:spPr>
          <c:marker>
            <c:symbol val="none"/>
          </c:marker>
          <c:xVal>
            <c:numRef>
              <c:f>'Ｐ－Ｑ图分析'!$R$55:$R$105</c:f>
              <c:numCache>
                <c:formatCode>0.00_ </c:formatCode>
                <c:ptCount val="51"/>
                <c:pt idx="0">
                  <c:v>17.927170868347339</c:v>
                </c:pt>
                <c:pt idx="1">
                  <c:v>17.927170868347339</c:v>
                </c:pt>
                <c:pt idx="2">
                  <c:v>17.927170868347339</c:v>
                </c:pt>
                <c:pt idx="3">
                  <c:v>17.927170868347339</c:v>
                </c:pt>
                <c:pt idx="4">
                  <c:v>17.927170868347339</c:v>
                </c:pt>
                <c:pt idx="5">
                  <c:v>17.927170868347339</c:v>
                </c:pt>
                <c:pt idx="6">
                  <c:v>17.927170868347339</c:v>
                </c:pt>
                <c:pt idx="7">
                  <c:v>17.927170868347339</c:v>
                </c:pt>
                <c:pt idx="8">
                  <c:v>17.927170868347339</c:v>
                </c:pt>
                <c:pt idx="9">
                  <c:v>17.927170868347339</c:v>
                </c:pt>
                <c:pt idx="10">
                  <c:v>17.927170868347339</c:v>
                </c:pt>
                <c:pt idx="11">
                  <c:v>17.927170868347339</c:v>
                </c:pt>
                <c:pt idx="12">
                  <c:v>17.927170868347339</c:v>
                </c:pt>
                <c:pt idx="13">
                  <c:v>17.927170868347339</c:v>
                </c:pt>
                <c:pt idx="14">
                  <c:v>17.927170868347339</c:v>
                </c:pt>
                <c:pt idx="15">
                  <c:v>17.927170868347339</c:v>
                </c:pt>
                <c:pt idx="16">
                  <c:v>17.927170868347339</c:v>
                </c:pt>
                <c:pt idx="17">
                  <c:v>17.927170868347339</c:v>
                </c:pt>
                <c:pt idx="18">
                  <c:v>17.927170868347339</c:v>
                </c:pt>
                <c:pt idx="19">
                  <c:v>17.927170868347339</c:v>
                </c:pt>
                <c:pt idx="20">
                  <c:v>17.927170868347339</c:v>
                </c:pt>
                <c:pt idx="21">
                  <c:v>17.927170868347339</c:v>
                </c:pt>
                <c:pt idx="22">
                  <c:v>17.927170868347339</c:v>
                </c:pt>
                <c:pt idx="23">
                  <c:v>17.927170868347339</c:v>
                </c:pt>
                <c:pt idx="24">
                  <c:v>17.927170868347339</c:v>
                </c:pt>
                <c:pt idx="25">
                  <c:v>17.927170868347339</c:v>
                </c:pt>
                <c:pt idx="26">
                  <c:v>17.927170868347339</c:v>
                </c:pt>
                <c:pt idx="27">
                  <c:v>17.927170868347339</c:v>
                </c:pt>
                <c:pt idx="28">
                  <c:v>17.927170868347339</c:v>
                </c:pt>
                <c:pt idx="29">
                  <c:v>17.927170868347339</c:v>
                </c:pt>
                <c:pt idx="30">
                  <c:v>17.927170868347339</c:v>
                </c:pt>
                <c:pt idx="31">
                  <c:v>17.927170868347339</c:v>
                </c:pt>
                <c:pt idx="32">
                  <c:v>17.927170868347339</c:v>
                </c:pt>
                <c:pt idx="33">
                  <c:v>17.927170868347339</c:v>
                </c:pt>
                <c:pt idx="34">
                  <c:v>17.927170868347339</c:v>
                </c:pt>
                <c:pt idx="35">
                  <c:v>17.927170868347339</c:v>
                </c:pt>
                <c:pt idx="36">
                  <c:v>17.927170868347339</c:v>
                </c:pt>
                <c:pt idx="37">
                  <c:v>17.927170868347339</c:v>
                </c:pt>
                <c:pt idx="38">
                  <c:v>17.927170868347339</c:v>
                </c:pt>
                <c:pt idx="39">
                  <c:v>17.927170868347339</c:v>
                </c:pt>
                <c:pt idx="40">
                  <c:v>17.927170868347339</c:v>
                </c:pt>
                <c:pt idx="41">
                  <c:v>17.927170868347339</c:v>
                </c:pt>
                <c:pt idx="42">
                  <c:v>17.927170868347339</c:v>
                </c:pt>
                <c:pt idx="43">
                  <c:v>17.927170868347339</c:v>
                </c:pt>
                <c:pt idx="44">
                  <c:v>17.927170868347339</c:v>
                </c:pt>
                <c:pt idx="45">
                  <c:v>17.927170868347339</c:v>
                </c:pt>
                <c:pt idx="46">
                  <c:v>17.927170868347339</c:v>
                </c:pt>
                <c:pt idx="47">
                  <c:v>17.927170868347339</c:v>
                </c:pt>
                <c:pt idx="48">
                  <c:v>17.927170868347339</c:v>
                </c:pt>
                <c:pt idx="49">
                  <c:v>17.927170868347339</c:v>
                </c:pt>
                <c:pt idx="50">
                  <c:v>17.927170868347339</c:v>
                </c:pt>
              </c:numCache>
            </c:numRef>
          </c:xVal>
          <c:yVal>
            <c:numRef>
              <c:f>'Ｐ－Ｑ图分析'!$W$55:$W$105</c:f>
              <c:numCache>
                <c:formatCode>0.00_ </c:formatCode>
                <c:ptCount val="51"/>
                <c:pt idx="0">
                  <c:v>0</c:v>
                </c:pt>
                <c:pt idx="1">
                  <c:v>0.23941666666666669</c:v>
                </c:pt>
                <c:pt idx="2">
                  <c:v>0.47883333333333339</c:v>
                </c:pt>
                <c:pt idx="3">
                  <c:v>0.71825000000000006</c:v>
                </c:pt>
                <c:pt idx="4">
                  <c:v>0.95766666666666678</c:v>
                </c:pt>
                <c:pt idx="5">
                  <c:v>1.1970833333333335</c:v>
                </c:pt>
                <c:pt idx="6">
                  <c:v>1.4365000000000001</c:v>
                </c:pt>
                <c:pt idx="7">
                  <c:v>1.6759166666666667</c:v>
                </c:pt>
                <c:pt idx="8">
                  <c:v>1.9153333333333333</c:v>
                </c:pt>
                <c:pt idx="9">
                  <c:v>2.1547499999999999</c:v>
                </c:pt>
                <c:pt idx="10">
                  <c:v>2.3941666666666666</c:v>
                </c:pt>
                <c:pt idx="11">
                  <c:v>2.6335833333333332</c:v>
                </c:pt>
                <c:pt idx="12">
                  <c:v>2.8729999999999998</c:v>
                </c:pt>
                <c:pt idx="13">
                  <c:v>3.1124166666666664</c:v>
                </c:pt>
                <c:pt idx="14">
                  <c:v>3.351833333333333</c:v>
                </c:pt>
                <c:pt idx="15">
                  <c:v>3.5912499999999996</c:v>
                </c:pt>
                <c:pt idx="16">
                  <c:v>3.8306666666666662</c:v>
                </c:pt>
                <c:pt idx="17">
                  <c:v>4.0700833333333328</c:v>
                </c:pt>
                <c:pt idx="18">
                  <c:v>4.3094999999999999</c:v>
                </c:pt>
                <c:pt idx="19">
                  <c:v>4.5489166666666669</c:v>
                </c:pt>
                <c:pt idx="20">
                  <c:v>4.788333333333334</c:v>
                </c:pt>
                <c:pt idx="21">
                  <c:v>5.0277500000000011</c:v>
                </c:pt>
                <c:pt idx="22">
                  <c:v>5.2671666666666681</c:v>
                </c:pt>
                <c:pt idx="23">
                  <c:v>5.5065833333333352</c:v>
                </c:pt>
                <c:pt idx="24">
                  <c:v>5.7460000000000022</c:v>
                </c:pt>
                <c:pt idx="25">
                  <c:v>5.9854166666666693</c:v>
                </c:pt>
                <c:pt idx="26">
                  <c:v>6.2248333333333363</c:v>
                </c:pt>
                <c:pt idx="27">
                  <c:v>6.4642500000000034</c:v>
                </c:pt>
                <c:pt idx="28">
                  <c:v>6.7036666666666704</c:v>
                </c:pt>
                <c:pt idx="29">
                  <c:v>6.9430833333333375</c:v>
                </c:pt>
                <c:pt idx="30">
                  <c:v>7.1825000000000045</c:v>
                </c:pt>
                <c:pt idx="31">
                  <c:v>7.4219166666666716</c:v>
                </c:pt>
                <c:pt idx="32">
                  <c:v>7.6613333333333387</c:v>
                </c:pt>
                <c:pt idx="33">
                  <c:v>7.9007500000000057</c:v>
                </c:pt>
                <c:pt idx="34">
                  <c:v>8.1401666666666728</c:v>
                </c:pt>
                <c:pt idx="35">
                  <c:v>8.3795833333333398</c:v>
                </c:pt>
                <c:pt idx="36">
                  <c:v>8.6190000000000069</c:v>
                </c:pt>
                <c:pt idx="37">
                  <c:v>8.8584166666666739</c:v>
                </c:pt>
                <c:pt idx="38">
                  <c:v>9.097833333333341</c:v>
                </c:pt>
                <c:pt idx="39">
                  <c:v>9.337250000000008</c:v>
                </c:pt>
                <c:pt idx="40">
                  <c:v>9.5766666666666751</c:v>
                </c:pt>
                <c:pt idx="41">
                  <c:v>9.8160833333333422</c:v>
                </c:pt>
                <c:pt idx="42">
                  <c:v>10.055500000000009</c:v>
                </c:pt>
                <c:pt idx="43">
                  <c:v>10.294916666666676</c:v>
                </c:pt>
                <c:pt idx="44">
                  <c:v>10.534333333333343</c:v>
                </c:pt>
                <c:pt idx="45">
                  <c:v>10.77375000000001</c:v>
                </c:pt>
                <c:pt idx="46">
                  <c:v>11.013166666666677</c:v>
                </c:pt>
                <c:pt idx="47">
                  <c:v>11.252583333333344</c:v>
                </c:pt>
                <c:pt idx="48">
                  <c:v>11.492000000000012</c:v>
                </c:pt>
                <c:pt idx="49">
                  <c:v>11.731416666666679</c:v>
                </c:pt>
                <c:pt idx="50">
                  <c:v>11.970833333333346</c:v>
                </c:pt>
              </c:numCache>
            </c:numRef>
          </c:yVal>
          <c:smooth val="1"/>
          <c:extLst>
            <c:ext xmlns:c16="http://schemas.microsoft.com/office/drawing/2014/chart" uri="{C3380CC4-5D6E-409C-BE32-E72D297353CC}">
              <c16:uniqueId val="{00000004-B441-4382-B4C3-A1D0B2ED4769}"/>
            </c:ext>
          </c:extLst>
        </c:ser>
        <c:ser>
          <c:idx val="4"/>
          <c:order val="5"/>
          <c:tx>
            <c:v>最长充型时间线</c:v>
          </c:tx>
          <c:spPr>
            <a:ln w="25400" cap="rnd" cmpd="sng" algn="ctr">
              <a:solidFill>
                <a:srgbClr val="FF9900">
                  <a:alpha val="100000"/>
                </a:srgbClr>
              </a:solidFill>
              <a:prstDash val="solid"/>
              <a:round/>
            </a:ln>
            <a:effectLst/>
          </c:spPr>
          <c:marker>
            <c:symbol val="none"/>
          </c:marker>
          <c:xVal>
            <c:numRef>
              <c:f>'Ｐ－Ｑ图分析'!$S$55:$S$105</c:f>
              <c:numCache>
                <c:formatCode>0.00_ </c:formatCode>
                <c:ptCount val="51"/>
                <c:pt idx="0">
                  <c:v>5.9757236227824464</c:v>
                </c:pt>
                <c:pt idx="1">
                  <c:v>5.9757236227824464</c:v>
                </c:pt>
                <c:pt idx="2">
                  <c:v>5.9757236227824464</c:v>
                </c:pt>
                <c:pt idx="3">
                  <c:v>5.9757236227824464</c:v>
                </c:pt>
                <c:pt idx="4">
                  <c:v>5.9757236227824464</c:v>
                </c:pt>
                <c:pt idx="5">
                  <c:v>5.9757236227824464</c:v>
                </c:pt>
                <c:pt idx="6">
                  <c:v>5.9757236227824464</c:v>
                </c:pt>
                <c:pt idx="7">
                  <c:v>5.9757236227824464</c:v>
                </c:pt>
                <c:pt idx="8">
                  <c:v>5.9757236227824464</c:v>
                </c:pt>
                <c:pt idx="9">
                  <c:v>5.9757236227824464</c:v>
                </c:pt>
                <c:pt idx="10">
                  <c:v>5.9757236227824464</c:v>
                </c:pt>
                <c:pt idx="11">
                  <c:v>5.9757236227824464</c:v>
                </c:pt>
                <c:pt idx="12">
                  <c:v>5.9757236227824464</c:v>
                </c:pt>
                <c:pt idx="13">
                  <c:v>5.9757236227824464</c:v>
                </c:pt>
                <c:pt idx="14">
                  <c:v>5.9757236227824464</c:v>
                </c:pt>
                <c:pt idx="15">
                  <c:v>5.9757236227824464</c:v>
                </c:pt>
                <c:pt idx="16">
                  <c:v>5.9757236227824464</c:v>
                </c:pt>
                <c:pt idx="17">
                  <c:v>5.9757236227824464</c:v>
                </c:pt>
                <c:pt idx="18">
                  <c:v>5.9757236227824464</c:v>
                </c:pt>
                <c:pt idx="19">
                  <c:v>5.9757236227824464</c:v>
                </c:pt>
                <c:pt idx="20">
                  <c:v>5.9757236227824464</c:v>
                </c:pt>
                <c:pt idx="21">
                  <c:v>5.9757236227824464</c:v>
                </c:pt>
                <c:pt idx="22">
                  <c:v>5.9757236227824464</c:v>
                </c:pt>
                <c:pt idx="23">
                  <c:v>5.9757236227824464</c:v>
                </c:pt>
                <c:pt idx="24">
                  <c:v>5.9757236227824464</c:v>
                </c:pt>
                <c:pt idx="25">
                  <c:v>5.9757236227824464</c:v>
                </c:pt>
                <c:pt idx="26">
                  <c:v>5.9757236227824464</c:v>
                </c:pt>
                <c:pt idx="27">
                  <c:v>5.9757236227824464</c:v>
                </c:pt>
                <c:pt idx="28">
                  <c:v>5.9757236227824464</c:v>
                </c:pt>
                <c:pt idx="29">
                  <c:v>5.9757236227824464</c:v>
                </c:pt>
                <c:pt idx="30">
                  <c:v>5.9757236227824464</c:v>
                </c:pt>
                <c:pt idx="31">
                  <c:v>5.9757236227824464</c:v>
                </c:pt>
                <c:pt idx="32">
                  <c:v>5.9757236227824464</c:v>
                </c:pt>
                <c:pt idx="33">
                  <c:v>5.9757236227824464</c:v>
                </c:pt>
                <c:pt idx="34">
                  <c:v>5.9757236227824464</c:v>
                </c:pt>
                <c:pt idx="35">
                  <c:v>5.9757236227824464</c:v>
                </c:pt>
                <c:pt idx="36">
                  <c:v>5.9757236227824464</c:v>
                </c:pt>
                <c:pt idx="37">
                  <c:v>5.9757236227824464</c:v>
                </c:pt>
                <c:pt idx="38">
                  <c:v>5.9757236227824464</c:v>
                </c:pt>
                <c:pt idx="39">
                  <c:v>5.9757236227824464</c:v>
                </c:pt>
                <c:pt idx="40">
                  <c:v>5.9757236227824464</c:v>
                </c:pt>
                <c:pt idx="41">
                  <c:v>5.9757236227824464</c:v>
                </c:pt>
                <c:pt idx="42">
                  <c:v>5.9757236227824464</c:v>
                </c:pt>
                <c:pt idx="43">
                  <c:v>5.9757236227824464</c:v>
                </c:pt>
                <c:pt idx="44">
                  <c:v>5.9757236227824464</c:v>
                </c:pt>
                <c:pt idx="45">
                  <c:v>5.9757236227824464</c:v>
                </c:pt>
                <c:pt idx="46">
                  <c:v>5.9757236227824464</c:v>
                </c:pt>
                <c:pt idx="47">
                  <c:v>5.9757236227824464</c:v>
                </c:pt>
                <c:pt idx="48">
                  <c:v>5.9757236227824464</c:v>
                </c:pt>
                <c:pt idx="49">
                  <c:v>5.9757236227824464</c:v>
                </c:pt>
                <c:pt idx="50">
                  <c:v>5.9757236227824464</c:v>
                </c:pt>
              </c:numCache>
            </c:numRef>
          </c:xVal>
          <c:yVal>
            <c:numRef>
              <c:f>'Ｐ－Ｑ图分析'!$W$55:$W$105</c:f>
              <c:numCache>
                <c:formatCode>0.00_ </c:formatCode>
                <c:ptCount val="51"/>
                <c:pt idx="0">
                  <c:v>0</c:v>
                </c:pt>
                <c:pt idx="1">
                  <c:v>0.23941666666666669</c:v>
                </c:pt>
                <c:pt idx="2">
                  <c:v>0.47883333333333339</c:v>
                </c:pt>
                <c:pt idx="3">
                  <c:v>0.71825000000000006</c:v>
                </c:pt>
                <c:pt idx="4">
                  <c:v>0.95766666666666678</c:v>
                </c:pt>
                <c:pt idx="5">
                  <c:v>1.1970833333333335</c:v>
                </c:pt>
                <c:pt idx="6">
                  <c:v>1.4365000000000001</c:v>
                </c:pt>
                <c:pt idx="7">
                  <c:v>1.6759166666666667</c:v>
                </c:pt>
                <c:pt idx="8">
                  <c:v>1.9153333333333333</c:v>
                </c:pt>
                <c:pt idx="9">
                  <c:v>2.1547499999999999</c:v>
                </c:pt>
                <c:pt idx="10">
                  <c:v>2.3941666666666666</c:v>
                </c:pt>
                <c:pt idx="11">
                  <c:v>2.6335833333333332</c:v>
                </c:pt>
                <c:pt idx="12">
                  <c:v>2.8729999999999998</c:v>
                </c:pt>
                <c:pt idx="13">
                  <c:v>3.1124166666666664</c:v>
                </c:pt>
                <c:pt idx="14">
                  <c:v>3.351833333333333</c:v>
                </c:pt>
                <c:pt idx="15">
                  <c:v>3.5912499999999996</c:v>
                </c:pt>
                <c:pt idx="16">
                  <c:v>3.8306666666666662</c:v>
                </c:pt>
                <c:pt idx="17">
                  <c:v>4.0700833333333328</c:v>
                </c:pt>
                <c:pt idx="18">
                  <c:v>4.3094999999999999</c:v>
                </c:pt>
                <c:pt idx="19">
                  <c:v>4.5489166666666669</c:v>
                </c:pt>
                <c:pt idx="20">
                  <c:v>4.788333333333334</c:v>
                </c:pt>
                <c:pt idx="21">
                  <c:v>5.0277500000000011</c:v>
                </c:pt>
                <c:pt idx="22">
                  <c:v>5.2671666666666681</c:v>
                </c:pt>
                <c:pt idx="23">
                  <c:v>5.5065833333333352</c:v>
                </c:pt>
                <c:pt idx="24">
                  <c:v>5.7460000000000022</c:v>
                </c:pt>
                <c:pt idx="25">
                  <c:v>5.9854166666666693</c:v>
                </c:pt>
                <c:pt idx="26">
                  <c:v>6.2248333333333363</c:v>
                </c:pt>
                <c:pt idx="27">
                  <c:v>6.4642500000000034</c:v>
                </c:pt>
                <c:pt idx="28">
                  <c:v>6.7036666666666704</c:v>
                </c:pt>
                <c:pt idx="29">
                  <c:v>6.9430833333333375</c:v>
                </c:pt>
                <c:pt idx="30">
                  <c:v>7.1825000000000045</c:v>
                </c:pt>
                <c:pt idx="31">
                  <c:v>7.4219166666666716</c:v>
                </c:pt>
                <c:pt idx="32">
                  <c:v>7.6613333333333387</c:v>
                </c:pt>
                <c:pt idx="33">
                  <c:v>7.9007500000000057</c:v>
                </c:pt>
                <c:pt idx="34">
                  <c:v>8.1401666666666728</c:v>
                </c:pt>
                <c:pt idx="35">
                  <c:v>8.3795833333333398</c:v>
                </c:pt>
                <c:pt idx="36">
                  <c:v>8.6190000000000069</c:v>
                </c:pt>
                <c:pt idx="37">
                  <c:v>8.8584166666666739</c:v>
                </c:pt>
                <c:pt idx="38">
                  <c:v>9.097833333333341</c:v>
                </c:pt>
                <c:pt idx="39">
                  <c:v>9.337250000000008</c:v>
                </c:pt>
                <c:pt idx="40">
                  <c:v>9.5766666666666751</c:v>
                </c:pt>
                <c:pt idx="41">
                  <c:v>9.8160833333333422</c:v>
                </c:pt>
                <c:pt idx="42">
                  <c:v>10.055500000000009</c:v>
                </c:pt>
                <c:pt idx="43">
                  <c:v>10.294916666666676</c:v>
                </c:pt>
                <c:pt idx="44">
                  <c:v>10.534333333333343</c:v>
                </c:pt>
                <c:pt idx="45">
                  <c:v>10.77375000000001</c:v>
                </c:pt>
                <c:pt idx="46">
                  <c:v>11.013166666666677</c:v>
                </c:pt>
                <c:pt idx="47">
                  <c:v>11.252583333333344</c:v>
                </c:pt>
                <c:pt idx="48">
                  <c:v>11.492000000000012</c:v>
                </c:pt>
                <c:pt idx="49">
                  <c:v>11.731416666666679</c:v>
                </c:pt>
                <c:pt idx="50">
                  <c:v>11.970833333333346</c:v>
                </c:pt>
              </c:numCache>
            </c:numRef>
          </c:yVal>
          <c:smooth val="1"/>
          <c:extLst>
            <c:ext xmlns:c16="http://schemas.microsoft.com/office/drawing/2014/chart" uri="{C3380CC4-5D6E-409C-BE32-E72D297353CC}">
              <c16:uniqueId val="{00000005-B441-4382-B4C3-A1D0B2ED4769}"/>
            </c:ext>
          </c:extLst>
        </c:ser>
        <c:ser>
          <c:idx val="7"/>
          <c:order val="6"/>
          <c:tx>
            <c:v>模具DL线</c:v>
          </c:tx>
          <c:spPr>
            <a:ln w="25400" cap="rnd" cmpd="sng" algn="ctr">
              <a:solidFill>
                <a:srgbClr val="339966">
                  <a:alpha val="100000"/>
                </a:srgbClr>
              </a:solidFill>
              <a:prstDash val="solid"/>
              <a:round/>
            </a:ln>
            <a:effectLst/>
          </c:spPr>
          <c:marker>
            <c:symbol val="none"/>
          </c:marker>
          <c:xVal>
            <c:numRef>
              <c:f>'Ｐ－Ｑ图分析'!$T$55:$T$105</c:f>
              <c:numCache>
                <c:formatCode>0.00_ </c:formatCode>
                <c:ptCount val="51"/>
                <c:pt idx="0">
                  <c:v>0</c:v>
                </c:pt>
                <c:pt idx="1">
                  <c:v>1.3185791217671181</c:v>
                </c:pt>
                <c:pt idx="2">
                  <c:v>2.6371582435342362</c:v>
                </c:pt>
                <c:pt idx="3">
                  <c:v>3.9557373653013546</c:v>
                </c:pt>
                <c:pt idx="4">
                  <c:v>5.2743164870684724</c:v>
                </c:pt>
                <c:pt idx="5">
                  <c:v>6.5928956088355903</c:v>
                </c:pt>
                <c:pt idx="6">
                  <c:v>7.9114747306027082</c:v>
                </c:pt>
                <c:pt idx="7">
                  <c:v>9.2300538523698261</c:v>
                </c:pt>
                <c:pt idx="8">
                  <c:v>10.548632974136945</c:v>
                </c:pt>
                <c:pt idx="9">
                  <c:v>11.867212095904064</c:v>
                </c:pt>
                <c:pt idx="10">
                  <c:v>13.185791217671182</c:v>
                </c:pt>
                <c:pt idx="11">
                  <c:v>14.504370339438301</c:v>
                </c:pt>
                <c:pt idx="12">
                  <c:v>15.82294946120542</c:v>
                </c:pt>
                <c:pt idx="13">
                  <c:v>17.141528582972537</c:v>
                </c:pt>
                <c:pt idx="14">
                  <c:v>18.460107704739656</c:v>
                </c:pt>
                <c:pt idx="15">
                  <c:v>19.778686826506775</c:v>
                </c:pt>
                <c:pt idx="16">
                  <c:v>21.097265948273893</c:v>
                </c:pt>
                <c:pt idx="17">
                  <c:v>22.415845070041012</c:v>
                </c:pt>
                <c:pt idx="18">
                  <c:v>23.734424191808131</c:v>
                </c:pt>
                <c:pt idx="19">
                  <c:v>25.05300331357525</c:v>
                </c:pt>
                <c:pt idx="20">
                  <c:v>26.371582435342368</c:v>
                </c:pt>
                <c:pt idx="21">
                  <c:v>27.690161557109487</c:v>
                </c:pt>
                <c:pt idx="22">
                  <c:v>29.008740678876606</c:v>
                </c:pt>
                <c:pt idx="23">
                  <c:v>30.327319800643725</c:v>
                </c:pt>
                <c:pt idx="24">
                  <c:v>31.645898922410844</c:v>
                </c:pt>
                <c:pt idx="25">
                  <c:v>32.964478044177959</c:v>
                </c:pt>
                <c:pt idx="26">
                  <c:v>34.283057165945074</c:v>
                </c:pt>
                <c:pt idx="27">
                  <c:v>35.601636287712189</c:v>
                </c:pt>
                <c:pt idx="28">
                  <c:v>36.920215409479304</c:v>
                </c:pt>
                <c:pt idx="29">
                  <c:v>38.23879453124642</c:v>
                </c:pt>
                <c:pt idx="30">
                  <c:v>39.557373653013535</c:v>
                </c:pt>
                <c:pt idx="31">
                  <c:v>40.87595277478065</c:v>
                </c:pt>
                <c:pt idx="32">
                  <c:v>42.194531896547765</c:v>
                </c:pt>
                <c:pt idx="33">
                  <c:v>43.513111018314881</c:v>
                </c:pt>
                <c:pt idx="34">
                  <c:v>44.831690140081996</c:v>
                </c:pt>
                <c:pt idx="35">
                  <c:v>46.150269261849111</c:v>
                </c:pt>
                <c:pt idx="36">
                  <c:v>47.468848383616226</c:v>
                </c:pt>
                <c:pt idx="37">
                  <c:v>48.787427505383341</c:v>
                </c:pt>
                <c:pt idx="38">
                  <c:v>50.106006627150457</c:v>
                </c:pt>
                <c:pt idx="39">
                  <c:v>51.424585748917572</c:v>
                </c:pt>
                <c:pt idx="40">
                  <c:v>52.743164870684687</c:v>
                </c:pt>
                <c:pt idx="41">
                  <c:v>54.061743992451802</c:v>
                </c:pt>
                <c:pt idx="42">
                  <c:v>55.380323114218918</c:v>
                </c:pt>
                <c:pt idx="43">
                  <c:v>56.698902235986033</c:v>
                </c:pt>
                <c:pt idx="44">
                  <c:v>58.017481357753148</c:v>
                </c:pt>
                <c:pt idx="45">
                  <c:v>59.336060479520263</c:v>
                </c:pt>
                <c:pt idx="46">
                  <c:v>60.654639601287379</c:v>
                </c:pt>
                <c:pt idx="47">
                  <c:v>61.973218723054494</c:v>
                </c:pt>
                <c:pt idx="48">
                  <c:v>63.291797844821609</c:v>
                </c:pt>
                <c:pt idx="49">
                  <c:v>64.610376966588731</c:v>
                </c:pt>
                <c:pt idx="50">
                  <c:v>65.928956088355847</c:v>
                </c:pt>
              </c:numCache>
            </c:numRef>
          </c:xVal>
          <c:yVal>
            <c:numRef>
              <c:f>'Ｐ－Ｑ图分析'!$U$55:$U$105</c:f>
              <c:numCache>
                <c:formatCode>0.00_ </c:formatCode>
                <c:ptCount val="51"/>
                <c:pt idx="0">
                  <c:v>0</c:v>
                </c:pt>
                <c:pt idx="1">
                  <c:v>0.16193877551020414</c:v>
                </c:pt>
                <c:pt idx="2">
                  <c:v>0.64775510204081654</c:v>
                </c:pt>
                <c:pt idx="3">
                  <c:v>1.4574489795918371</c:v>
                </c:pt>
                <c:pt idx="4">
                  <c:v>2.5910204081632662</c:v>
                </c:pt>
                <c:pt idx="5">
                  <c:v>4.0484693877551026</c:v>
                </c:pt>
                <c:pt idx="6">
                  <c:v>5.8297959183673482</c:v>
                </c:pt>
                <c:pt idx="7">
                  <c:v>7.9350000000000014</c:v>
                </c:pt>
                <c:pt idx="8">
                  <c:v>10.364081632653065</c:v>
                </c:pt>
                <c:pt idx="9">
                  <c:v>13.117040816326536</c:v>
                </c:pt>
                <c:pt idx="10">
                  <c:v>16.193877551020414</c:v>
                </c:pt>
                <c:pt idx="11">
                  <c:v>19.594591836734704</c:v>
                </c:pt>
                <c:pt idx="12">
                  <c:v>23.319183673469404</c:v>
                </c:pt>
                <c:pt idx="13">
                  <c:v>27.367653061224502</c:v>
                </c:pt>
                <c:pt idx="14">
                  <c:v>31.740000000000013</c:v>
                </c:pt>
                <c:pt idx="15">
                  <c:v>36.43622448979594</c:v>
                </c:pt>
                <c:pt idx="16">
                  <c:v>41.456326530612266</c:v>
                </c:pt>
                <c:pt idx="17">
                  <c:v>46.800306122449001</c:v>
                </c:pt>
                <c:pt idx="18">
                  <c:v>52.468163265306167</c:v>
                </c:pt>
                <c:pt idx="19">
                  <c:v>58.459897959183706</c:v>
                </c:pt>
                <c:pt idx="20">
                  <c:v>64.775510204081684</c:v>
                </c:pt>
                <c:pt idx="21">
                  <c:v>71.415000000000049</c:v>
                </c:pt>
                <c:pt idx="22">
                  <c:v>78.37836734693883</c:v>
                </c:pt>
                <c:pt idx="23">
                  <c:v>85.665612244898028</c:v>
                </c:pt>
                <c:pt idx="24">
                  <c:v>93.276734693877643</c:v>
                </c:pt>
                <c:pt idx="25">
                  <c:v>101.2117346938776</c:v>
                </c:pt>
                <c:pt idx="26">
                  <c:v>109.47061224489801</c:v>
                </c:pt>
                <c:pt idx="27">
                  <c:v>118.05336734693878</c:v>
                </c:pt>
                <c:pt idx="28">
                  <c:v>126.96000000000002</c:v>
                </c:pt>
                <c:pt idx="29">
                  <c:v>136.19051020408159</c:v>
                </c:pt>
                <c:pt idx="30">
                  <c:v>145.74489795918365</c:v>
                </c:pt>
                <c:pt idx="31">
                  <c:v>155.62316326530609</c:v>
                </c:pt>
                <c:pt idx="32">
                  <c:v>165.82530612244892</c:v>
                </c:pt>
                <c:pt idx="33">
                  <c:v>176.35132653061217</c:v>
                </c:pt>
                <c:pt idx="34">
                  <c:v>187.20122448979578</c:v>
                </c:pt>
                <c:pt idx="35">
                  <c:v>198.37499999999983</c:v>
                </c:pt>
                <c:pt idx="36">
                  <c:v>209.8726530612243</c:v>
                </c:pt>
                <c:pt idx="37">
                  <c:v>221.69418367346915</c:v>
                </c:pt>
                <c:pt idx="38">
                  <c:v>233.83959183673448</c:v>
                </c:pt>
                <c:pt idx="39">
                  <c:v>246.30887755102015</c:v>
                </c:pt>
                <c:pt idx="40">
                  <c:v>259.10204081632622</c:v>
                </c:pt>
                <c:pt idx="41">
                  <c:v>272.21908163265272</c:v>
                </c:pt>
                <c:pt idx="42">
                  <c:v>285.65999999999957</c:v>
                </c:pt>
                <c:pt idx="43">
                  <c:v>299.4247959183669</c:v>
                </c:pt>
                <c:pt idx="44">
                  <c:v>313.51346938775458</c:v>
                </c:pt>
                <c:pt idx="45">
                  <c:v>327.92602040816274</c:v>
                </c:pt>
                <c:pt idx="46">
                  <c:v>342.6624489795912</c:v>
                </c:pt>
                <c:pt idx="47">
                  <c:v>357.7227551020402</c:v>
                </c:pt>
                <c:pt idx="48">
                  <c:v>373.10693877550966</c:v>
                </c:pt>
                <c:pt idx="49">
                  <c:v>388.81499999999949</c:v>
                </c:pt>
                <c:pt idx="50">
                  <c:v>404.84693877550956</c:v>
                </c:pt>
              </c:numCache>
            </c:numRef>
          </c:yVal>
          <c:smooth val="1"/>
          <c:extLst>
            <c:ext xmlns:c16="http://schemas.microsoft.com/office/drawing/2014/chart" uri="{C3380CC4-5D6E-409C-BE32-E72D297353CC}">
              <c16:uniqueId val="{00000006-B441-4382-B4C3-A1D0B2ED4769}"/>
            </c:ext>
          </c:extLst>
        </c:ser>
        <c:ser>
          <c:idx val="6"/>
          <c:order val="7"/>
          <c:tx>
            <c:v>系统工作点</c:v>
          </c:tx>
          <c:spPr>
            <a:ln w="9525" cap="rnd" cmpd="sng" algn="ctr">
              <a:noFill/>
              <a:prstDash val="solid"/>
              <a:round/>
            </a:ln>
          </c:spPr>
          <c:marker>
            <c:symbol val="circle"/>
            <c:size val="9"/>
            <c:spPr>
              <a:solidFill>
                <a:srgbClr val="000000">
                  <a:alpha val="100000"/>
                </a:srgbClr>
              </a:solidFill>
              <a:ln w="6350" cap="flat" cmpd="sng" algn="ctr">
                <a:solidFill>
                  <a:srgbClr val="FF0000">
                    <a:alpha val="100000"/>
                  </a:srgbClr>
                </a:solidFill>
                <a:prstDash val="solid"/>
                <a:round/>
              </a:ln>
              <a:effectLst/>
            </c:spPr>
          </c:marker>
          <c:xVal>
            <c:numRef>
              <c:f>'Ｐ－Ｑ图分析'!$C$55</c:f>
              <c:numCache>
                <c:formatCode>0.0_ </c:formatCode>
                <c:ptCount val="1"/>
                <c:pt idx="0">
                  <c:v>9.1974731192059505</c:v>
                </c:pt>
              </c:numCache>
            </c:numRef>
          </c:xVal>
          <c:yVal>
            <c:numRef>
              <c:f>'Ｐ－Ｑ图分析'!$C$56</c:f>
              <c:numCache>
                <c:formatCode>0.0_ </c:formatCode>
                <c:ptCount val="1"/>
                <c:pt idx="0">
                  <c:v>7.8790801020971557</c:v>
                </c:pt>
              </c:numCache>
            </c:numRef>
          </c:yVal>
          <c:smooth val="0"/>
          <c:extLst>
            <c:ext xmlns:c16="http://schemas.microsoft.com/office/drawing/2014/chart" uri="{C3380CC4-5D6E-409C-BE32-E72D297353CC}">
              <c16:uniqueId val="{00000007-B441-4382-B4C3-A1D0B2ED4769}"/>
            </c:ext>
          </c:extLst>
        </c:ser>
        <c:ser>
          <c:idx val="8"/>
          <c:order val="8"/>
          <c:tx>
            <c:v>工艺窗口</c:v>
          </c:tx>
          <c:spPr>
            <a:ln w="25400" cap="rnd" cmpd="sng" algn="ctr">
              <a:solidFill>
                <a:srgbClr val="FF0000">
                  <a:alpha val="100000"/>
                </a:srgbClr>
              </a:solidFill>
              <a:prstDash val="solid"/>
              <a:round/>
            </a:ln>
            <a:effectLst/>
          </c:spPr>
          <c:marker>
            <c:symbol val="none"/>
          </c:marker>
          <c:xVal>
            <c:strRef>
              <c:f>('Ｐ－Ｑ图分析'!$C$50,'Ｐ－Ｑ图分析'!$B$40,'Ｐ－Ｑ图分析'!$B$39,'Ｐ－Ｑ图分析'!$B$39,'Ｐ－Ｑ图分析'!$B$40,'Ｐ－Ｑ图分析'!$B$40,'Ｐ－Ｑ图分析'!$B$40,'Ｐ－Ｑ图分析'!$B$39,'Ｐ－Ｑ图分析'!$B$39,'Ｐ－Ｑ图分析'!$B$40)</c:f>
              <c:strCache>
                <c:ptCount val="10"/>
                <c:pt idx="0">
                  <c:v>6.0 </c:v>
                </c:pt>
                <c:pt idx="1">
                  <c:v>浇口系数</c:v>
                </c:pt>
                <c:pt idx="2">
                  <c:v>内浇口截面积（有效）</c:v>
                </c:pt>
                <c:pt idx="3">
                  <c:v>内浇口截面积（有效）</c:v>
                </c:pt>
                <c:pt idx="4">
                  <c:v>浇口系数</c:v>
                </c:pt>
                <c:pt idx="5">
                  <c:v>浇口系数</c:v>
                </c:pt>
                <c:pt idx="6">
                  <c:v>浇口系数</c:v>
                </c:pt>
                <c:pt idx="7">
                  <c:v>内浇口截面积（有效）</c:v>
                </c:pt>
                <c:pt idx="8">
                  <c:v>内浇口截面积（有效）</c:v>
                </c:pt>
                <c:pt idx="9">
                  <c:v>浇口系数</c:v>
                </c:pt>
              </c:strCache>
            </c:strRef>
          </c:xVal>
          <c:yVal>
            <c:numRef>
              <c:f>('Ｐ－Ｑ图分析'!$C$51,'Ｐ－Ｑ图分析'!$B$42,'Ｐ－Ｑ图分析'!$B$42,'Ｐ－Ｑ图分析'!$B$41,'Ｐ－Ｑ图分析'!$B$41)</c:f>
              <c:numCache>
                <c:formatCode>General</c:formatCode>
                <c:ptCount val="5"/>
                <c:pt idx="0" formatCode="0.0_ ">
                  <c:v>9.576666666666668</c:v>
                </c:pt>
                <c:pt idx="3">
                  <c:v>0</c:v>
                </c:pt>
                <c:pt idx="4">
                  <c:v>0</c:v>
                </c:pt>
              </c:numCache>
            </c:numRef>
          </c:yVal>
          <c:smooth val="0"/>
          <c:extLst>
            <c:ext xmlns:c16="http://schemas.microsoft.com/office/drawing/2014/chart" uri="{C3380CC4-5D6E-409C-BE32-E72D297353CC}">
              <c16:uniqueId val="{00000008-B441-4382-B4C3-A1D0B2ED4769}"/>
            </c:ext>
          </c:extLst>
        </c:ser>
        <c:dLbls>
          <c:showLegendKey val="0"/>
          <c:showVal val="0"/>
          <c:showCatName val="0"/>
          <c:showSerName val="0"/>
          <c:showPercent val="0"/>
          <c:showBubbleSize val="0"/>
        </c:dLbls>
        <c:axId val="38656510"/>
        <c:axId val="377309811"/>
      </c:scatterChart>
      <c:valAx>
        <c:axId val="38656510"/>
        <c:scaling>
          <c:orientation val="minMax"/>
        </c:scaling>
        <c:delete val="0"/>
        <c:axPos val="b"/>
        <c:majorGridlines>
          <c:spPr>
            <a:ln w="3175" cap="flat" cmpd="sng" algn="ctr">
              <a:solidFill>
                <a:srgbClr val="9999FF">
                  <a:alpha val="100000"/>
                </a:srgbClr>
              </a:solidFill>
              <a:prstDash val="dashDot"/>
              <a:round/>
            </a:ln>
            <a:effectLst/>
          </c:spPr>
        </c:majorGridlines>
        <c:minorGridlines>
          <c:spPr>
            <a:ln w="3175" cap="flat" cmpd="sng" algn="ctr">
              <a:solidFill>
                <a:srgbClr val="9999FF">
                  <a:alpha val="100000"/>
                </a:srgbClr>
              </a:solidFill>
              <a:prstDash val="dashDot"/>
              <a:round/>
            </a:ln>
            <a:effectLst/>
          </c:spPr>
        </c:minorGridlines>
        <c:title>
          <c:tx>
            <c:rich>
              <a:bodyPr rot="0" spcFirstLastPara="0" vertOverflow="ellipsis" vert="horz" wrap="square" anchor="ctr" anchorCtr="1"/>
              <a:lstStyle/>
              <a:p>
                <a:pPr defTabSz="914400">
                  <a:defRPr lang="zh-CN" sz="1600" b="1" i="0" u="none" strike="noStrike" kern="1200" baseline="0">
                    <a:solidFill>
                      <a:srgbClr val="FF0000">
                        <a:alpha val="100000"/>
                      </a:srgbClr>
                    </a:solidFill>
                    <a:latin typeface="黑体" panose="02010609060101010101" charset="-122"/>
                    <a:ea typeface="黑体" panose="02010609060101010101" charset="-122"/>
                    <a:cs typeface="黑体" panose="02010609060101010101" charset="-122"/>
                  </a:defRPr>
                </a:pPr>
                <a:r>
                  <a:rPr lang="zh-CN" altLang="en-US" sz="1600">
                    <a:solidFill>
                      <a:srgbClr val="FF0000">
                        <a:alpha val="100000"/>
                      </a:srgbClr>
                    </a:solidFill>
                  </a:rPr>
                  <a:t>流量</a:t>
                </a:r>
                <a:r>
                  <a:rPr lang="en-US" sz="1600">
                    <a:solidFill>
                      <a:srgbClr val="FF0000">
                        <a:alpha val="100000"/>
                      </a:srgbClr>
                    </a:solidFill>
                  </a:rPr>
                  <a:t>Q(L/S)</a:t>
                </a:r>
                <a:endParaRPr lang="en-US" sz="1600" b="1" i="0" u="none" strike="noStrike" baseline="0">
                  <a:solidFill>
                    <a:srgbClr val="FF0000">
                      <a:alpha val="100000"/>
                    </a:srgbClr>
                  </a:solidFill>
                  <a:latin typeface="黑体" panose="02010609060101010101" charset="-122"/>
                  <a:ea typeface="黑体" panose="02010609060101010101" charset="-122"/>
                  <a:cs typeface="黑体" panose="02010609060101010101" charset="-122"/>
                </a:endParaRPr>
              </a:p>
            </c:rich>
          </c:tx>
          <c:layout>
            <c:manualLayout>
              <c:xMode val="edge"/>
              <c:yMode val="edge"/>
              <c:x val="0.48392357001365799"/>
              <c:y val="0.95030270917340698"/>
            </c:manualLayout>
          </c:layout>
          <c:overlay val="0"/>
        </c:title>
        <c:numFmt formatCode="0.00_ " sourceLinked="0"/>
        <c:majorTickMark val="in"/>
        <c:minorTickMark val="in"/>
        <c:tickLblPos val="nextTo"/>
        <c:spPr>
          <a:noFill/>
          <a:ln w="25400" cap="flat" cmpd="sng" algn="ctr">
            <a:solidFill>
              <a:srgbClr val="000000">
                <a:alpha val="100000"/>
              </a:srgbClr>
            </a:solidFill>
            <a:prstDash val="solid"/>
            <a:round/>
          </a:ln>
          <a:effectLst/>
        </c:spPr>
        <c:txPr>
          <a:bodyPr rot="0" spcFirstLastPara="0" vertOverflow="ellipsis" vert="horz" wrap="square" anchor="ctr" anchorCtr="1"/>
          <a:lstStyle/>
          <a:p>
            <a:pPr>
              <a:defRPr lang="zh-CN" sz="875" b="1" i="0" u="none" strike="noStrike" kern="1200" baseline="0">
                <a:solidFill>
                  <a:srgbClr val="000000">
                    <a:alpha val="100000"/>
                  </a:srgbClr>
                </a:solidFill>
                <a:latin typeface="黑体" panose="02010609060101010101" charset="-122"/>
                <a:ea typeface="黑体" panose="02010609060101010101" charset="-122"/>
                <a:cs typeface="黑体" panose="02010609060101010101" charset="-122"/>
              </a:defRPr>
            </a:pPr>
            <a:endParaRPr lang="zh-CN"/>
          </a:p>
        </c:txPr>
        <c:crossAx val="377309811"/>
        <c:crosses val="autoZero"/>
        <c:crossBetween val="midCat"/>
        <c:majorUnit val="5"/>
      </c:valAx>
      <c:valAx>
        <c:axId val="377309811"/>
        <c:scaling>
          <c:orientation val="minMax"/>
          <c:min val="0"/>
        </c:scaling>
        <c:delete val="0"/>
        <c:axPos val="l"/>
        <c:majorGridlines>
          <c:spPr>
            <a:ln w="3175" cap="flat" cmpd="sng" algn="ctr">
              <a:solidFill>
                <a:srgbClr val="9999FF">
                  <a:alpha val="100000"/>
                </a:srgbClr>
              </a:solidFill>
              <a:prstDash val="dashDot"/>
              <a:round/>
            </a:ln>
            <a:effectLst/>
          </c:spPr>
        </c:majorGridlines>
        <c:minorGridlines>
          <c:spPr>
            <a:ln w="3175" cap="flat" cmpd="sng" algn="ctr">
              <a:solidFill>
                <a:srgbClr val="9999FF">
                  <a:alpha val="100000"/>
                </a:srgbClr>
              </a:solidFill>
              <a:prstDash val="dashDot"/>
              <a:round/>
            </a:ln>
            <a:effectLst/>
          </c:spPr>
        </c:minorGridlines>
        <c:title>
          <c:tx>
            <c:rich>
              <a:bodyPr rot="-5400000" spcFirstLastPara="0" vertOverflow="ellipsis" vert="horz" wrap="square" anchor="ctr" anchorCtr="1"/>
              <a:lstStyle/>
              <a:p>
                <a:pPr defTabSz="914400">
                  <a:defRPr lang="zh-CN" sz="1600" b="1" i="0" u="none" strike="noStrike" kern="1200" baseline="0">
                    <a:solidFill>
                      <a:srgbClr val="FF0000">
                        <a:alpha val="100000"/>
                      </a:srgbClr>
                    </a:solidFill>
                    <a:latin typeface="黑体" panose="02010609060101010101" charset="-122"/>
                    <a:ea typeface="黑体" panose="02010609060101010101" charset="-122"/>
                    <a:cs typeface="黑体" panose="02010609060101010101" charset="-122"/>
                  </a:defRPr>
                </a:pPr>
                <a:r>
                  <a:rPr lang="zh-CN" altLang="en-US" sz="1600">
                    <a:solidFill>
                      <a:srgbClr val="FF0000">
                        <a:alpha val="100000"/>
                      </a:srgbClr>
                    </a:solidFill>
                  </a:rPr>
                  <a:t>压力</a:t>
                </a:r>
                <a:r>
                  <a:rPr lang="en-US" sz="1600">
                    <a:solidFill>
                      <a:srgbClr val="FF0000">
                        <a:alpha val="100000"/>
                      </a:srgbClr>
                    </a:solidFill>
                  </a:rPr>
                  <a:t>P(MPa)</a:t>
                </a:r>
                <a:endParaRPr lang="en-US" sz="1600" b="1" i="0" u="none" strike="noStrike" baseline="0">
                  <a:solidFill>
                    <a:srgbClr val="FF0000">
                      <a:alpha val="100000"/>
                    </a:srgbClr>
                  </a:solidFill>
                  <a:latin typeface="黑体" panose="02010609060101010101" charset="-122"/>
                  <a:ea typeface="黑体" panose="02010609060101010101" charset="-122"/>
                  <a:cs typeface="黑体" panose="02010609060101010101" charset="-122"/>
                </a:endParaRPr>
              </a:p>
            </c:rich>
          </c:tx>
          <c:layout>
            <c:manualLayout>
              <c:xMode val="edge"/>
              <c:yMode val="edge"/>
              <c:x val="9.2672413793103495E-2"/>
              <c:y val="0.48078244952545601"/>
            </c:manualLayout>
          </c:layout>
          <c:overlay val="0"/>
        </c:title>
        <c:numFmt formatCode="0.00_ " sourceLinked="0"/>
        <c:majorTickMark val="in"/>
        <c:minorTickMark val="in"/>
        <c:tickLblPos val="nextTo"/>
        <c:spPr>
          <a:noFill/>
          <a:ln w="25400" cap="flat" cmpd="sng" algn="ctr">
            <a:solidFill>
              <a:srgbClr val="000000">
                <a:alpha val="100000"/>
              </a:srgbClr>
            </a:solidFill>
            <a:prstDash val="solid"/>
            <a:round/>
          </a:ln>
          <a:effectLst/>
        </c:spPr>
        <c:txPr>
          <a:bodyPr rot="0" spcFirstLastPara="0" vertOverflow="ellipsis" vert="horz" wrap="square" anchor="ctr" anchorCtr="1"/>
          <a:lstStyle/>
          <a:p>
            <a:pPr>
              <a:defRPr lang="zh-CN" sz="875" b="1" i="0" u="none" strike="noStrike" kern="1200" baseline="0">
                <a:solidFill>
                  <a:srgbClr val="000000">
                    <a:alpha val="100000"/>
                  </a:srgbClr>
                </a:solidFill>
                <a:latin typeface="黑体" panose="02010609060101010101" charset="-122"/>
                <a:ea typeface="黑体" panose="02010609060101010101" charset="-122"/>
                <a:cs typeface="黑体" panose="02010609060101010101" charset="-122"/>
              </a:defRPr>
            </a:pPr>
            <a:endParaRPr lang="zh-CN"/>
          </a:p>
        </c:txPr>
        <c:crossAx val="38656510"/>
        <c:crosses val="autoZero"/>
        <c:crossBetween val="midCat"/>
        <c:majorUnit val="5"/>
        <c:minorUnit val="1.43147928994083"/>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65049999999999997"/>
          <c:y val="0.15175"/>
          <c:w val="0.33600000000000002"/>
          <c:h val="0.29625000000000001"/>
        </c:manualLayout>
      </c:layout>
      <c:overlay val="0"/>
      <c:spPr>
        <a:noFill/>
        <a:ln w="3175">
          <a:noFill/>
        </a:ln>
      </c:spPr>
      <c:txPr>
        <a:bodyPr rot="0" spcFirstLastPara="0" vertOverflow="ellipsis" vert="horz" wrap="square" anchor="ctr" anchorCtr="1"/>
        <a:lstStyle/>
        <a:p>
          <a:pPr>
            <a:defRPr lang="zh-CN" sz="925" b="1" i="0" u="none" strike="noStrike" kern="1200" baseline="0">
              <a:solidFill>
                <a:srgbClr val="000000"/>
              </a:solidFill>
              <a:latin typeface="黑体" panose="02010609060101010101" charset="-122"/>
              <a:ea typeface="黑体" panose="02010609060101010101" charset="-122"/>
              <a:cs typeface="黑体" panose="02010609060101010101" charset="-122"/>
            </a:defRPr>
          </a:pPr>
          <a:endParaRPr lang="zh-CN"/>
        </a:p>
      </c:txPr>
    </c:legend>
    <c:plotVisOnly val="1"/>
    <c:dispBlanksAs val="gap"/>
    <c:showDLblsOverMax val="0"/>
  </c:chart>
  <c:spPr>
    <a:solidFill>
      <a:srgbClr val="99CCFF">
        <a:alpha val="100000"/>
      </a:srgbClr>
    </a:solidFill>
    <a:ln w="3175" cap="flat" cmpd="sng" algn="ctr">
      <a:solidFill>
        <a:srgbClr val="000000">
          <a:alpha val="100000"/>
        </a:srgbClr>
      </a:solidFill>
      <a:prstDash val="solid"/>
      <a:round/>
    </a:ln>
    <a:effectLst/>
  </c:spPr>
  <c:txPr>
    <a:bodyPr rot="0" wrap="square" anchor="ctr" anchorCtr="1"/>
    <a:lstStyle/>
    <a:p>
      <a:pPr>
        <a:defRPr lang="zh-CN" sz="1200" b="0" i="0" u="none" strike="noStrike"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3</xdr:col>
      <xdr:colOff>914400</xdr:colOff>
      <xdr:row>48</xdr:row>
      <xdr:rowOff>18415</xdr:rowOff>
    </xdr:from>
    <xdr:to>
      <xdr:col>9</xdr:col>
      <xdr:colOff>838200</xdr:colOff>
      <xdr:row>74</xdr:row>
      <xdr:rowOff>105410</xdr:rowOff>
    </xdr:to>
    <xdr:graphicFrame macro="">
      <xdr:nvGraphicFramePr>
        <xdr:cNvPr id="122787" name="Chart 1">
          <a:extLst>
            <a:ext uri="{FF2B5EF4-FFF2-40B4-BE49-F238E27FC236}">
              <a16:creationId xmlns:a16="http://schemas.microsoft.com/office/drawing/2014/main" id="{00000000-0008-0000-0000-0000A3DF01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1164590</xdr:colOff>
      <xdr:row>58</xdr:row>
      <xdr:rowOff>34925</xdr:rowOff>
    </xdr:from>
    <xdr:to>
      <xdr:col>8</xdr:col>
      <xdr:colOff>164465</xdr:colOff>
      <xdr:row>58</xdr:row>
      <xdr:rowOff>234950</xdr:rowOff>
    </xdr:to>
    <xdr:sp macro="" textlink="">
      <xdr:nvSpPr>
        <xdr:cNvPr id="122788" name="Rectangle 2">
          <a:extLst>
            <a:ext uri="{FF2B5EF4-FFF2-40B4-BE49-F238E27FC236}">
              <a16:creationId xmlns:a16="http://schemas.microsoft.com/office/drawing/2014/main" id="{00000000-0008-0000-0000-0000A4DF0100}"/>
            </a:ext>
          </a:extLst>
        </xdr:cNvPr>
        <xdr:cNvSpPr/>
      </xdr:nvSpPr>
      <xdr:spPr>
        <a:xfrm>
          <a:off x="9127490" y="13782675"/>
          <a:ext cx="409575" cy="168275"/>
        </a:xfrm>
        <a:prstGeom prst="rect">
          <a:avLst/>
        </a:prstGeom>
        <a:noFill/>
        <a:ln w="22225" cap="flat" cmpd="sng">
          <a:solidFill>
            <a:srgbClr xmlns:mc="http://schemas.openxmlformats.org/markup-compatibility/2006" xmlns:a14="http://schemas.microsoft.com/office/drawing/2010/main" val="FF0000" mc:Ignorable="a14" a14:legacySpreadsheetColorIndex="10"/>
          </a:solidFill>
          <a:prstDash val="solid"/>
          <a:miter/>
          <a:headEnd type="none" w="med" len="med"/>
          <a:tailEnd type="none" w="med" len="med"/>
        </a:ln>
      </xdr:spPr>
    </xdr:sp>
    <xdr:clientData/>
  </xdr:twoCellAnchor>
  <xdr:twoCellAnchor>
    <xdr:from>
      <xdr:col>6</xdr:col>
      <xdr:colOff>49530</xdr:colOff>
      <xdr:row>147</xdr:row>
      <xdr:rowOff>119380</xdr:rowOff>
    </xdr:from>
    <xdr:to>
      <xdr:col>12</xdr:col>
      <xdr:colOff>913130</xdr:colOff>
      <xdr:row>179</xdr:row>
      <xdr:rowOff>175895</xdr:rowOff>
    </xdr:to>
    <xdr:grpSp>
      <xdr:nvGrpSpPr>
        <xdr:cNvPr id="122789" name="组合 7">
          <a:extLst>
            <a:ext uri="{FF2B5EF4-FFF2-40B4-BE49-F238E27FC236}">
              <a16:creationId xmlns:a16="http://schemas.microsoft.com/office/drawing/2014/main" id="{00000000-0008-0000-0000-0000A5DF0100}"/>
            </a:ext>
          </a:extLst>
        </xdr:cNvPr>
        <xdr:cNvGrpSpPr/>
      </xdr:nvGrpSpPr>
      <xdr:grpSpPr>
        <a:xfrm>
          <a:off x="7326630" y="32990155"/>
          <a:ext cx="5187950" cy="5847715"/>
          <a:chOff x="5858773" y="24010189"/>
          <a:chExt cx="4038096" cy="4070589"/>
        </a:xfrm>
      </xdr:grpSpPr>
      <xdr:pic>
        <xdr:nvPicPr>
          <xdr:cNvPr id="122790" name="图片 2">
            <a:extLst>
              <a:ext uri="{FF2B5EF4-FFF2-40B4-BE49-F238E27FC236}">
                <a16:creationId xmlns:a16="http://schemas.microsoft.com/office/drawing/2014/main" id="{00000000-0008-0000-0000-0000A6DF0100}"/>
              </a:ext>
            </a:extLst>
          </xdr:cNvPr>
          <xdr:cNvPicPr>
            <a:picLocks noChangeAspect="1"/>
          </xdr:cNvPicPr>
        </xdr:nvPicPr>
        <xdr:blipFill>
          <a:blip xmlns:r="http://schemas.openxmlformats.org/officeDocument/2006/relationships" r:embed="rId2"/>
          <a:stretch>
            <a:fillRect/>
          </a:stretch>
        </xdr:blipFill>
        <xdr:spPr>
          <a:xfrm>
            <a:off x="5858773" y="24010189"/>
            <a:ext cx="4038096" cy="3542857"/>
          </a:xfrm>
          <a:prstGeom prst="rect">
            <a:avLst/>
          </a:prstGeom>
          <a:noFill/>
          <a:ln w="9525">
            <a:noFill/>
          </a:ln>
        </xdr:spPr>
      </xdr:pic>
      <xdr:sp macro="" textlink="">
        <xdr:nvSpPr>
          <xdr:cNvPr id="2" name="矩形 3">
            <a:extLst>
              <a:ext uri="{FF2B5EF4-FFF2-40B4-BE49-F238E27FC236}">
                <a16:creationId xmlns:a16="http://schemas.microsoft.com/office/drawing/2014/main" id="{00000000-0008-0000-0000-000002000000}"/>
              </a:ext>
            </a:extLst>
          </xdr:cNvPr>
          <xdr:cNvSpPr/>
        </xdr:nvSpPr>
        <xdr:spPr>
          <a:xfrm>
            <a:off x="6287345" y="27557688"/>
            <a:ext cx="3247620" cy="523090"/>
          </a:xfrm>
          <a:prstGeom prst="rect">
            <a:avLst/>
          </a:prstGeom>
          <a:solidFill>
            <a:srgbClr xmlns:mc="http://schemas.openxmlformats.org/markup-compatibility/2006" xmlns:a14="http://schemas.microsoft.com/office/drawing/2010/main" val="FFFFFF" mc:Ignorable="a14" a14:legacySpreadsheetColorIndex="9"/>
          </a:solidFill>
          <a:ln w="9525" cap="flat" cmpd="sng">
            <a:noFill/>
            <a:prstDash val="solid"/>
            <a:headEnd type="none" w="med" len="med"/>
            <a:tailEnd type="none" w="med" len="med"/>
          </a:ln>
        </xdr:spPr>
        <xdr:txBody>
          <a:bodyPr vertOverflow="clip" horzOverflow="clip" rtlCol="0" anchor="t"/>
          <a:lstStyle/>
          <a:p>
            <a:pPr algn="ctr"/>
            <a:r>
              <a:rPr lang="zh-CN" altLang="en-US" sz="2000"/>
              <a:t>内浇口速度的经验值</a:t>
            </a:r>
            <a:endParaRPr lang="en-US" altLang="zh-CN" sz="2000"/>
          </a:p>
          <a:p>
            <a:pPr algn="ctr"/>
            <a:r>
              <a:rPr lang="zh-CN" altLang="en-US" sz="1600"/>
              <a:t>德国铸造手册中推荐值</a:t>
            </a:r>
          </a:p>
          <a:p>
            <a:pPr algn="l">
              <a:lnSpc>
                <a:spcPts val="1200"/>
              </a:lnSpc>
            </a:pPr>
            <a:endParaRPr lang="zh-CN" altLang="en-US" sz="1600"/>
          </a:p>
        </xdr:txBody>
      </xdr:sp>
    </xdr:grpSp>
    <xdr:clientData/>
  </xdr:twoCellAnchor>
  <xdr:twoCellAnchor>
    <xdr:from>
      <xdr:col>4</xdr:col>
      <xdr:colOff>268605</xdr:colOff>
      <xdr:row>113</xdr:row>
      <xdr:rowOff>6985</xdr:rowOff>
    </xdr:from>
    <xdr:to>
      <xdr:col>9</xdr:col>
      <xdr:colOff>358775</xdr:colOff>
      <xdr:row>119</xdr:row>
      <xdr:rowOff>99060</xdr:rowOff>
    </xdr:to>
    <xdr:pic>
      <xdr:nvPicPr>
        <xdr:cNvPr id="122792" name="图片 10">
          <a:extLst>
            <a:ext uri="{FF2B5EF4-FFF2-40B4-BE49-F238E27FC236}">
              <a16:creationId xmlns:a16="http://schemas.microsoft.com/office/drawing/2014/main" id="{00000000-0008-0000-0000-0000A8DF0100}"/>
            </a:ext>
          </a:extLst>
        </xdr:cNvPr>
        <xdr:cNvPicPr>
          <a:picLocks noChangeAspect="1"/>
        </xdr:cNvPicPr>
      </xdr:nvPicPr>
      <xdr:blipFill>
        <a:blip xmlns:r="http://schemas.openxmlformats.org/officeDocument/2006/relationships" r:embed="rId3"/>
        <a:stretch>
          <a:fillRect/>
        </a:stretch>
      </xdr:blipFill>
      <xdr:spPr>
        <a:xfrm>
          <a:off x="5374005" y="25718135"/>
          <a:ext cx="5052695" cy="18192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1212850</xdr:colOff>
      <xdr:row>20</xdr:row>
      <xdr:rowOff>29845</xdr:rowOff>
    </xdr:from>
    <xdr:to>
      <xdr:col>11</xdr:col>
      <xdr:colOff>628015</xdr:colOff>
      <xdr:row>31</xdr:row>
      <xdr:rowOff>90805</xdr:rowOff>
    </xdr:to>
    <xdr:grpSp>
      <xdr:nvGrpSpPr>
        <xdr:cNvPr id="7" name="组合 6">
          <a:extLst>
            <a:ext uri="{FF2B5EF4-FFF2-40B4-BE49-F238E27FC236}">
              <a16:creationId xmlns:a16="http://schemas.microsoft.com/office/drawing/2014/main" id="{00000000-0008-0000-0100-000007000000}"/>
            </a:ext>
          </a:extLst>
        </xdr:cNvPr>
        <xdr:cNvGrpSpPr/>
      </xdr:nvGrpSpPr>
      <xdr:grpSpPr>
        <a:xfrm>
          <a:off x="7742767" y="4369012"/>
          <a:ext cx="3870748" cy="2040043"/>
          <a:chOff x="12144" y="6871"/>
          <a:chExt cx="6500" cy="3396"/>
        </a:xfrm>
      </xdr:grpSpPr>
      <xdr:pic>
        <xdr:nvPicPr>
          <xdr:cNvPr id="143385" name="图片 1">
            <a:extLst>
              <a:ext uri="{FF2B5EF4-FFF2-40B4-BE49-F238E27FC236}">
                <a16:creationId xmlns:a16="http://schemas.microsoft.com/office/drawing/2014/main" id="{00000000-0008-0000-0100-000019300200}"/>
              </a:ext>
            </a:extLst>
          </xdr:cNvPr>
          <xdr:cNvPicPr>
            <a:picLocks noChangeAspect="1"/>
          </xdr:cNvPicPr>
        </xdr:nvPicPr>
        <xdr:blipFill>
          <a:blip xmlns:r="http://schemas.openxmlformats.org/officeDocument/2006/relationships" r:embed="rId1"/>
          <a:srcRect l="17195" b="19851"/>
          <a:stretch>
            <a:fillRect/>
          </a:stretch>
        </xdr:blipFill>
        <xdr:spPr>
          <a:xfrm>
            <a:off x="12972" y="6871"/>
            <a:ext cx="5673" cy="2152"/>
          </a:xfrm>
          <a:prstGeom prst="rect">
            <a:avLst/>
          </a:prstGeom>
          <a:noFill/>
          <a:ln w="9525">
            <a:noFill/>
          </a:ln>
        </xdr:spPr>
      </xdr:pic>
      <xdr:cxnSp macro="">
        <xdr:nvCxnSpPr>
          <xdr:cNvPr id="2" name="直接连接符 1">
            <a:extLst>
              <a:ext uri="{FF2B5EF4-FFF2-40B4-BE49-F238E27FC236}">
                <a16:creationId xmlns:a16="http://schemas.microsoft.com/office/drawing/2014/main" id="{00000000-0008-0000-0100-000002000000}"/>
              </a:ext>
            </a:extLst>
          </xdr:cNvPr>
          <xdr:cNvCxnSpPr/>
        </xdr:nvCxnSpPr>
        <xdr:spPr>
          <a:xfrm flipH="1">
            <a:off x="13089" y="8833"/>
            <a:ext cx="11" cy="143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 name="直接连接符 2">
            <a:extLst>
              <a:ext uri="{FF2B5EF4-FFF2-40B4-BE49-F238E27FC236}">
                <a16:creationId xmlns:a16="http://schemas.microsoft.com/office/drawing/2014/main" id="{00000000-0008-0000-0100-000003000000}"/>
              </a:ext>
            </a:extLst>
          </xdr:cNvPr>
          <xdr:cNvCxnSpPr/>
        </xdr:nvCxnSpPr>
        <xdr:spPr>
          <a:xfrm flipH="1">
            <a:off x="13335" y="8823"/>
            <a:ext cx="11" cy="143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接箭头连接符 3">
            <a:extLst>
              <a:ext uri="{FF2B5EF4-FFF2-40B4-BE49-F238E27FC236}">
                <a16:creationId xmlns:a16="http://schemas.microsoft.com/office/drawing/2014/main" id="{00000000-0008-0000-0100-000004000000}"/>
              </a:ext>
            </a:extLst>
          </xdr:cNvPr>
          <xdr:cNvCxnSpPr/>
        </xdr:nvCxnSpPr>
        <xdr:spPr>
          <a:xfrm>
            <a:off x="12144" y="9778"/>
            <a:ext cx="912" cy="11"/>
          </a:xfrm>
          <a:prstGeom prst="straightConnector1">
            <a:avLst/>
          </a:prstGeom>
          <a:ln>
            <a:solidFill>
              <a:srgbClr val="FF0000"/>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 name="直接箭头连接符 4">
            <a:extLst>
              <a:ext uri="{FF2B5EF4-FFF2-40B4-BE49-F238E27FC236}">
                <a16:creationId xmlns:a16="http://schemas.microsoft.com/office/drawing/2014/main" id="{00000000-0008-0000-0100-000005000000}"/>
              </a:ext>
            </a:extLst>
          </xdr:cNvPr>
          <xdr:cNvCxnSpPr/>
        </xdr:nvCxnSpPr>
        <xdr:spPr>
          <a:xfrm flipH="1">
            <a:off x="13354" y="9769"/>
            <a:ext cx="2158" cy="10"/>
          </a:xfrm>
          <a:prstGeom prst="straightConnector1">
            <a:avLst/>
          </a:prstGeom>
          <a:ln>
            <a:solidFill>
              <a:srgbClr val="FF0000"/>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文本框 5">
            <a:extLst>
              <a:ext uri="{FF2B5EF4-FFF2-40B4-BE49-F238E27FC236}">
                <a16:creationId xmlns:a16="http://schemas.microsoft.com/office/drawing/2014/main" id="{00000000-0008-0000-0100-000006000000}"/>
              </a:ext>
            </a:extLst>
          </xdr:cNvPr>
          <xdr:cNvSpPr txBox="1"/>
        </xdr:nvSpPr>
        <xdr:spPr>
          <a:xfrm>
            <a:off x="13520" y="9184"/>
            <a:ext cx="3595" cy="48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zh-CN" altLang="en-US" sz="1600" b="1"/>
              <a:t>与模具浇口套配合长度</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107950</xdr:colOff>
      <xdr:row>46</xdr:row>
      <xdr:rowOff>111125</xdr:rowOff>
    </xdr:from>
    <xdr:to>
      <xdr:col>4</xdr:col>
      <xdr:colOff>1344930</xdr:colOff>
      <xdr:row>49</xdr:row>
      <xdr:rowOff>76200</xdr:rowOff>
    </xdr:to>
    <xdr:pic>
      <xdr:nvPicPr>
        <xdr:cNvPr id="150711" name="图片 17">
          <a:extLst>
            <a:ext uri="{FF2B5EF4-FFF2-40B4-BE49-F238E27FC236}">
              <a16:creationId xmlns:a16="http://schemas.microsoft.com/office/drawing/2014/main" id="{00000000-0008-0000-0200-0000B74C0200}"/>
            </a:ext>
          </a:extLst>
        </xdr:cNvPr>
        <xdr:cNvPicPr>
          <a:picLocks noChangeAspect="1"/>
        </xdr:cNvPicPr>
      </xdr:nvPicPr>
      <xdr:blipFill>
        <a:blip xmlns:r="http://schemas.openxmlformats.org/officeDocument/2006/relationships" r:embed="rId1"/>
        <a:stretch>
          <a:fillRect/>
        </a:stretch>
      </xdr:blipFill>
      <xdr:spPr>
        <a:xfrm>
          <a:off x="1428750" y="9080500"/>
          <a:ext cx="3218180" cy="536575"/>
        </a:xfrm>
        <a:prstGeom prst="rect">
          <a:avLst/>
        </a:prstGeom>
        <a:noFill/>
        <a:ln w="9525">
          <a:noFill/>
        </a:ln>
      </xdr:spPr>
    </xdr:pic>
    <xdr:clientData/>
  </xdr:twoCellAnchor>
  <xdr:twoCellAnchor editAs="oneCell">
    <xdr:from>
      <xdr:col>2</xdr:col>
      <xdr:colOff>31750</xdr:colOff>
      <xdr:row>62</xdr:row>
      <xdr:rowOff>24765</xdr:rowOff>
    </xdr:from>
    <xdr:to>
      <xdr:col>4</xdr:col>
      <xdr:colOff>810260</xdr:colOff>
      <xdr:row>65</xdr:row>
      <xdr:rowOff>38100</xdr:rowOff>
    </xdr:to>
    <xdr:pic>
      <xdr:nvPicPr>
        <xdr:cNvPr id="150712" name="图片 19">
          <a:extLst>
            <a:ext uri="{FF2B5EF4-FFF2-40B4-BE49-F238E27FC236}">
              <a16:creationId xmlns:a16="http://schemas.microsoft.com/office/drawing/2014/main" id="{00000000-0008-0000-0200-0000B84C0200}"/>
            </a:ext>
          </a:extLst>
        </xdr:cNvPr>
        <xdr:cNvPicPr>
          <a:picLocks noChangeAspect="1"/>
        </xdr:cNvPicPr>
      </xdr:nvPicPr>
      <xdr:blipFill>
        <a:blip xmlns:r="http://schemas.openxmlformats.org/officeDocument/2006/relationships" r:embed="rId2"/>
        <a:stretch>
          <a:fillRect/>
        </a:stretch>
      </xdr:blipFill>
      <xdr:spPr>
        <a:xfrm>
          <a:off x="1352550" y="12032615"/>
          <a:ext cx="2759710" cy="584835"/>
        </a:xfrm>
        <a:prstGeom prst="rect">
          <a:avLst/>
        </a:prstGeom>
        <a:noFill/>
        <a:ln w="9525">
          <a:noFill/>
        </a:ln>
      </xdr:spPr>
    </xdr:pic>
    <xdr:clientData/>
  </xdr:twoCellAnchor>
  <xdr:twoCellAnchor editAs="oneCell">
    <xdr:from>
      <xdr:col>1</xdr:col>
      <xdr:colOff>565150</xdr:colOff>
      <xdr:row>106</xdr:row>
      <xdr:rowOff>72390</xdr:rowOff>
    </xdr:from>
    <xdr:to>
      <xdr:col>5</xdr:col>
      <xdr:colOff>26035</xdr:colOff>
      <xdr:row>124</xdr:row>
      <xdr:rowOff>82550</xdr:rowOff>
    </xdr:to>
    <xdr:pic>
      <xdr:nvPicPr>
        <xdr:cNvPr id="150713" name="图片 20">
          <a:extLst>
            <a:ext uri="{FF2B5EF4-FFF2-40B4-BE49-F238E27FC236}">
              <a16:creationId xmlns:a16="http://schemas.microsoft.com/office/drawing/2014/main" id="{00000000-0008-0000-0200-0000B94C0200}"/>
            </a:ext>
          </a:extLst>
        </xdr:cNvPr>
        <xdr:cNvPicPr>
          <a:picLocks noChangeAspect="1"/>
        </xdr:cNvPicPr>
      </xdr:nvPicPr>
      <xdr:blipFill>
        <a:blip xmlns:r="http://schemas.openxmlformats.org/officeDocument/2006/relationships" r:embed="rId3"/>
        <a:stretch>
          <a:fillRect/>
        </a:stretch>
      </xdr:blipFill>
      <xdr:spPr>
        <a:xfrm>
          <a:off x="1225550" y="22354540"/>
          <a:ext cx="3886835" cy="3439160"/>
        </a:xfrm>
        <a:prstGeom prst="rect">
          <a:avLst/>
        </a:prstGeom>
        <a:noFill/>
        <a:ln w="9525">
          <a:noFill/>
        </a:ln>
      </xdr:spPr>
    </xdr:pic>
    <xdr:clientData/>
  </xdr:twoCellAnchor>
  <xdr:twoCellAnchor>
    <xdr:from>
      <xdr:col>7</xdr:col>
      <xdr:colOff>254000</xdr:colOff>
      <xdr:row>26</xdr:row>
      <xdr:rowOff>114300</xdr:rowOff>
    </xdr:from>
    <xdr:to>
      <xdr:col>17</xdr:col>
      <xdr:colOff>180340</xdr:colOff>
      <xdr:row>170</xdr:row>
      <xdr:rowOff>168910</xdr:rowOff>
    </xdr:to>
    <xdr:grpSp>
      <xdr:nvGrpSpPr>
        <xdr:cNvPr id="150714" name="组合 11">
          <a:extLst>
            <a:ext uri="{FF2B5EF4-FFF2-40B4-BE49-F238E27FC236}">
              <a16:creationId xmlns:a16="http://schemas.microsoft.com/office/drawing/2014/main" id="{00000000-0008-0000-0200-0000BA4C0200}"/>
            </a:ext>
          </a:extLst>
        </xdr:cNvPr>
        <xdr:cNvGrpSpPr/>
      </xdr:nvGrpSpPr>
      <xdr:grpSpPr>
        <a:xfrm>
          <a:off x="6645275" y="4981575"/>
          <a:ext cx="6498590" cy="28772485"/>
          <a:chOff x="5350" y="3400"/>
          <a:chExt cx="7995" cy="41110"/>
        </a:xfrm>
      </xdr:grpSpPr>
      <xdr:pic>
        <xdr:nvPicPr>
          <xdr:cNvPr id="150715" name="图片 10">
            <a:extLst>
              <a:ext uri="{FF2B5EF4-FFF2-40B4-BE49-F238E27FC236}">
                <a16:creationId xmlns:a16="http://schemas.microsoft.com/office/drawing/2014/main" id="{00000000-0008-0000-0200-0000BB4C0200}"/>
              </a:ext>
            </a:extLst>
          </xdr:cNvPr>
          <xdr:cNvPicPr>
            <a:picLocks noChangeAspect="1"/>
          </xdr:cNvPicPr>
        </xdr:nvPicPr>
        <xdr:blipFill>
          <a:blip xmlns:r="http://schemas.openxmlformats.org/officeDocument/2006/relationships" r:embed="rId4"/>
          <a:stretch>
            <a:fillRect/>
          </a:stretch>
        </xdr:blipFill>
        <xdr:spPr>
          <a:xfrm>
            <a:off x="5430" y="3400"/>
            <a:ext cx="7790" cy="5934"/>
          </a:xfrm>
          <a:prstGeom prst="rect">
            <a:avLst/>
          </a:prstGeom>
          <a:noFill/>
          <a:ln w="9525">
            <a:noFill/>
          </a:ln>
        </xdr:spPr>
      </xdr:pic>
      <xdr:pic>
        <xdr:nvPicPr>
          <xdr:cNvPr id="150716" name="图片 11">
            <a:extLst>
              <a:ext uri="{FF2B5EF4-FFF2-40B4-BE49-F238E27FC236}">
                <a16:creationId xmlns:a16="http://schemas.microsoft.com/office/drawing/2014/main" id="{00000000-0008-0000-0200-0000BC4C0200}"/>
              </a:ext>
            </a:extLst>
          </xdr:cNvPr>
          <xdr:cNvPicPr>
            <a:picLocks noChangeAspect="1"/>
          </xdr:cNvPicPr>
        </xdr:nvPicPr>
        <xdr:blipFill>
          <a:blip xmlns:r="http://schemas.openxmlformats.org/officeDocument/2006/relationships" r:embed="rId5"/>
          <a:stretch>
            <a:fillRect/>
          </a:stretch>
        </xdr:blipFill>
        <xdr:spPr>
          <a:xfrm>
            <a:off x="5420" y="9490"/>
            <a:ext cx="7800" cy="6175"/>
          </a:xfrm>
          <a:prstGeom prst="rect">
            <a:avLst/>
          </a:prstGeom>
          <a:noFill/>
          <a:ln w="9525">
            <a:noFill/>
          </a:ln>
        </xdr:spPr>
      </xdr:pic>
      <xdr:pic>
        <xdr:nvPicPr>
          <xdr:cNvPr id="150717" name="图片 12">
            <a:extLst>
              <a:ext uri="{FF2B5EF4-FFF2-40B4-BE49-F238E27FC236}">
                <a16:creationId xmlns:a16="http://schemas.microsoft.com/office/drawing/2014/main" id="{00000000-0008-0000-0200-0000BD4C0200}"/>
              </a:ext>
            </a:extLst>
          </xdr:cNvPr>
          <xdr:cNvPicPr>
            <a:picLocks noChangeAspect="1"/>
          </xdr:cNvPicPr>
        </xdr:nvPicPr>
        <xdr:blipFill>
          <a:blip xmlns:r="http://schemas.openxmlformats.org/officeDocument/2006/relationships" r:embed="rId6"/>
          <a:stretch>
            <a:fillRect/>
          </a:stretch>
        </xdr:blipFill>
        <xdr:spPr>
          <a:xfrm>
            <a:off x="5405" y="15890"/>
            <a:ext cx="7940" cy="8110"/>
          </a:xfrm>
          <a:prstGeom prst="rect">
            <a:avLst/>
          </a:prstGeom>
          <a:noFill/>
          <a:ln w="9525">
            <a:noFill/>
          </a:ln>
        </xdr:spPr>
      </xdr:pic>
      <xdr:pic>
        <xdr:nvPicPr>
          <xdr:cNvPr id="150718" name="图片 13">
            <a:extLst>
              <a:ext uri="{FF2B5EF4-FFF2-40B4-BE49-F238E27FC236}">
                <a16:creationId xmlns:a16="http://schemas.microsoft.com/office/drawing/2014/main" id="{00000000-0008-0000-0200-0000BE4C0200}"/>
              </a:ext>
            </a:extLst>
          </xdr:cNvPr>
          <xdr:cNvPicPr>
            <a:picLocks noChangeAspect="1"/>
          </xdr:cNvPicPr>
        </xdr:nvPicPr>
        <xdr:blipFill>
          <a:blip xmlns:r="http://schemas.openxmlformats.org/officeDocument/2006/relationships" r:embed="rId7"/>
          <a:stretch>
            <a:fillRect/>
          </a:stretch>
        </xdr:blipFill>
        <xdr:spPr>
          <a:xfrm>
            <a:off x="5405" y="24220"/>
            <a:ext cx="7870" cy="4870"/>
          </a:xfrm>
          <a:prstGeom prst="rect">
            <a:avLst/>
          </a:prstGeom>
          <a:noFill/>
          <a:ln w="9525">
            <a:noFill/>
          </a:ln>
        </xdr:spPr>
      </xdr:pic>
      <xdr:pic>
        <xdr:nvPicPr>
          <xdr:cNvPr id="150719" name="图片 14">
            <a:extLst>
              <a:ext uri="{FF2B5EF4-FFF2-40B4-BE49-F238E27FC236}">
                <a16:creationId xmlns:a16="http://schemas.microsoft.com/office/drawing/2014/main" id="{00000000-0008-0000-0200-0000BF4C0200}"/>
              </a:ext>
            </a:extLst>
          </xdr:cNvPr>
          <xdr:cNvPicPr>
            <a:picLocks noChangeAspect="1"/>
          </xdr:cNvPicPr>
        </xdr:nvPicPr>
        <xdr:blipFill>
          <a:blip xmlns:r="http://schemas.openxmlformats.org/officeDocument/2006/relationships" r:embed="rId8"/>
          <a:stretch>
            <a:fillRect/>
          </a:stretch>
        </xdr:blipFill>
        <xdr:spPr>
          <a:xfrm>
            <a:off x="5380" y="29290"/>
            <a:ext cx="7850" cy="7571"/>
          </a:xfrm>
          <a:prstGeom prst="rect">
            <a:avLst/>
          </a:prstGeom>
          <a:noFill/>
          <a:ln w="9525">
            <a:noFill/>
          </a:ln>
        </xdr:spPr>
      </xdr:pic>
      <xdr:pic>
        <xdr:nvPicPr>
          <xdr:cNvPr id="150720" name="图片 15">
            <a:extLst>
              <a:ext uri="{FF2B5EF4-FFF2-40B4-BE49-F238E27FC236}">
                <a16:creationId xmlns:a16="http://schemas.microsoft.com/office/drawing/2014/main" id="{00000000-0008-0000-0200-0000C04C0200}"/>
              </a:ext>
            </a:extLst>
          </xdr:cNvPr>
          <xdr:cNvPicPr>
            <a:picLocks noChangeAspect="1"/>
          </xdr:cNvPicPr>
        </xdr:nvPicPr>
        <xdr:blipFill>
          <a:blip xmlns:r="http://schemas.openxmlformats.org/officeDocument/2006/relationships" r:embed="rId9"/>
          <a:stretch>
            <a:fillRect/>
          </a:stretch>
        </xdr:blipFill>
        <xdr:spPr>
          <a:xfrm>
            <a:off x="5360" y="36970"/>
            <a:ext cx="7800" cy="4760"/>
          </a:xfrm>
          <a:prstGeom prst="rect">
            <a:avLst/>
          </a:prstGeom>
          <a:noFill/>
          <a:ln w="9525">
            <a:noFill/>
          </a:ln>
        </xdr:spPr>
      </xdr:pic>
      <xdr:pic>
        <xdr:nvPicPr>
          <xdr:cNvPr id="150721" name="图片 16">
            <a:extLst>
              <a:ext uri="{FF2B5EF4-FFF2-40B4-BE49-F238E27FC236}">
                <a16:creationId xmlns:a16="http://schemas.microsoft.com/office/drawing/2014/main" id="{00000000-0008-0000-0200-0000C14C0200}"/>
              </a:ext>
            </a:extLst>
          </xdr:cNvPr>
          <xdr:cNvPicPr>
            <a:picLocks noChangeAspect="1"/>
          </xdr:cNvPicPr>
        </xdr:nvPicPr>
        <xdr:blipFill>
          <a:blip xmlns:r="http://schemas.openxmlformats.org/officeDocument/2006/relationships" r:embed="rId10"/>
          <a:stretch>
            <a:fillRect/>
          </a:stretch>
        </xdr:blipFill>
        <xdr:spPr>
          <a:xfrm>
            <a:off x="5350" y="41920"/>
            <a:ext cx="7920" cy="2591"/>
          </a:xfrm>
          <a:prstGeom prst="rect">
            <a:avLst/>
          </a:prstGeom>
          <a:noFill/>
          <a:ln w="9525">
            <a:noFill/>
          </a:ln>
        </xdr:spPr>
      </xdr:pic>
    </xdr:grpSp>
    <xdr:clientData/>
  </xdr:twoCellAnchor>
  <xdr:twoCellAnchor editAs="oneCell">
    <xdr:from>
      <xdr:col>21</xdr:col>
      <xdr:colOff>156210</xdr:colOff>
      <xdr:row>1</xdr:row>
      <xdr:rowOff>289560</xdr:rowOff>
    </xdr:from>
    <xdr:to>
      <xdr:col>24</xdr:col>
      <xdr:colOff>413385</xdr:colOff>
      <xdr:row>25</xdr:row>
      <xdr:rowOff>168275</xdr:rowOff>
    </xdr:to>
    <xdr:pic>
      <xdr:nvPicPr>
        <xdr:cNvPr id="150722" name="图片 9">
          <a:extLst>
            <a:ext uri="{FF2B5EF4-FFF2-40B4-BE49-F238E27FC236}">
              <a16:creationId xmlns:a16="http://schemas.microsoft.com/office/drawing/2014/main" id="{00000000-0008-0000-0200-0000C24C0200}"/>
            </a:ext>
          </a:extLst>
        </xdr:cNvPr>
        <xdr:cNvPicPr>
          <a:picLocks noChangeAspect="1"/>
        </xdr:cNvPicPr>
      </xdr:nvPicPr>
      <xdr:blipFill>
        <a:blip xmlns:r="http://schemas.openxmlformats.org/officeDocument/2006/relationships" r:embed="rId11"/>
        <a:stretch>
          <a:fillRect/>
        </a:stretch>
      </xdr:blipFill>
      <xdr:spPr>
        <a:xfrm>
          <a:off x="15808960" y="480060"/>
          <a:ext cx="2238375" cy="4593590"/>
        </a:xfrm>
        <a:prstGeom prst="rect">
          <a:avLst/>
        </a:prstGeom>
        <a:noFill/>
        <a:ln w="9525">
          <a:noFill/>
        </a:ln>
      </xdr:spPr>
    </xdr:pic>
    <xdr:clientData/>
  </xdr:twoCellAnchor>
  <xdr:twoCellAnchor>
    <xdr:from>
      <xdr:col>1</xdr:col>
      <xdr:colOff>393700</xdr:colOff>
      <xdr:row>91</xdr:row>
      <xdr:rowOff>69215</xdr:rowOff>
    </xdr:from>
    <xdr:to>
      <xdr:col>4</xdr:col>
      <xdr:colOff>381635</xdr:colOff>
      <xdr:row>93</xdr:row>
      <xdr:rowOff>347980</xdr:rowOff>
    </xdr:to>
    <xdr:pic>
      <xdr:nvPicPr>
        <xdr:cNvPr id="150723" name="图片 2">
          <a:extLst>
            <a:ext uri="{FF2B5EF4-FFF2-40B4-BE49-F238E27FC236}">
              <a16:creationId xmlns:a16="http://schemas.microsoft.com/office/drawing/2014/main" id="{00000000-0008-0000-0200-0000C34C0200}"/>
            </a:ext>
          </a:extLst>
        </xdr:cNvPr>
        <xdr:cNvPicPr>
          <a:picLocks noChangeAspect="1"/>
        </xdr:cNvPicPr>
      </xdr:nvPicPr>
      <xdr:blipFill>
        <a:blip xmlns:r="http://schemas.openxmlformats.org/officeDocument/2006/relationships" r:embed="rId12"/>
        <a:stretch>
          <a:fillRect/>
        </a:stretch>
      </xdr:blipFill>
      <xdr:spPr>
        <a:xfrm>
          <a:off x="1054100" y="17601565"/>
          <a:ext cx="2629535" cy="659765"/>
        </a:xfrm>
        <a:prstGeom prst="rect">
          <a:avLst/>
        </a:prstGeom>
        <a:noFill/>
        <a:ln w="9525">
          <a:noFill/>
        </a:ln>
      </xdr:spPr>
    </xdr:pic>
    <xdr:clientData/>
  </xdr:twoCellAnchor>
  <xdr:twoCellAnchor>
    <xdr:from>
      <xdr:col>4</xdr:col>
      <xdr:colOff>1572260</xdr:colOff>
      <xdr:row>29</xdr:row>
      <xdr:rowOff>16510</xdr:rowOff>
    </xdr:from>
    <xdr:to>
      <xdr:col>8</xdr:col>
      <xdr:colOff>227330</xdr:colOff>
      <xdr:row>31</xdr:row>
      <xdr:rowOff>36830</xdr:rowOff>
    </xdr:to>
    <xdr:cxnSp macro="">
      <xdr:nvCxnSpPr>
        <xdr:cNvPr id="2" name="直接箭头连接符 3">
          <a:extLst>
            <a:ext uri="{FF2B5EF4-FFF2-40B4-BE49-F238E27FC236}">
              <a16:creationId xmlns:a16="http://schemas.microsoft.com/office/drawing/2014/main" id="{00000000-0008-0000-0200-000002000000}"/>
            </a:ext>
          </a:extLst>
        </xdr:cNvPr>
        <xdr:cNvCxnSpPr/>
      </xdr:nvCxnSpPr>
      <xdr:spPr>
        <a:xfrm>
          <a:off x="4874260" y="5747385"/>
          <a:ext cx="2420620" cy="401320"/>
        </a:xfrm>
        <a:prstGeom prst="straightConnector1">
          <a:avLst/>
        </a:prstGeom>
        <a:ln w="57150">
          <a:solidFill>
            <a:srgbClr val="FF0000"/>
          </a:solidFill>
          <a:tailEnd type="arrow"/>
        </a:ln>
      </xdr:spPr>
      <xdr:style>
        <a:lnRef idx="2">
          <a:schemeClr val="accent1"/>
        </a:lnRef>
        <a:fillRef idx="0">
          <a:srgbClr val="FFFFFF"/>
        </a:fillRef>
        <a:effectRef idx="0">
          <a:srgbClr val="FFFFFF"/>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Z142"/>
  <sheetViews>
    <sheetView showGridLines="0" topLeftCell="A124" workbookViewId="0">
      <selection activeCell="O16" sqref="O16"/>
    </sheetView>
  </sheetViews>
  <sheetFormatPr defaultColWidth="8.625" defaultRowHeight="14.25" x14ac:dyDescent="0.15"/>
  <cols>
    <col min="1" max="1" width="9" style="2"/>
    <col min="2" max="2" width="26" style="2" customWidth="1"/>
    <col min="3" max="3" width="20" style="2" customWidth="1"/>
    <col min="4" max="4" width="12" style="2" customWidth="1"/>
    <col min="5" max="5" width="19" style="2" customWidth="1"/>
    <col min="6" max="6" width="9.5" style="2" customWidth="1"/>
    <col min="7" max="7" width="9" style="2"/>
    <col min="8" max="8" width="18.5" style="2" customWidth="1"/>
    <col min="9" max="9" width="9.125" style="2" customWidth="1"/>
    <col min="10" max="10" width="11" style="2" customWidth="1"/>
    <col min="11" max="11" width="0.125" style="2" customWidth="1"/>
    <col min="12" max="12" width="9" style="4"/>
    <col min="13" max="13" width="18.625" style="5" customWidth="1"/>
    <col min="14" max="14" width="9.875" style="4" customWidth="1"/>
    <col min="15" max="15" width="11.125" style="4" customWidth="1"/>
    <col min="16" max="16" width="13.5" style="4" customWidth="1"/>
    <col min="17" max="19" width="12" style="4" customWidth="1"/>
    <col min="20" max="23" width="8.625" style="5" customWidth="1"/>
    <col min="24" max="26" width="9" style="4"/>
    <col min="27" max="31" width="9" style="2"/>
    <col min="32" max="16384" width="8.625" style="2"/>
  </cols>
  <sheetData>
    <row r="1" spans="2:13" ht="20.100000000000001" customHeight="1" x14ac:dyDescent="0.15">
      <c r="B1" s="247" t="s">
        <v>319</v>
      </c>
      <c r="C1" s="248"/>
      <c r="D1" s="248"/>
      <c r="E1" s="248"/>
      <c r="F1" s="248"/>
      <c r="G1" s="248"/>
      <c r="H1" s="248"/>
      <c r="I1" s="248"/>
      <c r="J1" s="249"/>
      <c r="L1" s="123"/>
    </row>
    <row r="2" spans="2:13" ht="20.100000000000001" customHeight="1" x14ac:dyDescent="0.15">
      <c r="B2" s="250"/>
      <c r="C2" s="251"/>
      <c r="D2" s="251"/>
      <c r="E2" s="251"/>
      <c r="F2" s="251"/>
      <c r="G2" s="251"/>
      <c r="H2" s="251"/>
      <c r="I2" s="251"/>
      <c r="J2" s="252"/>
      <c r="L2" s="124"/>
    </row>
    <row r="3" spans="2:13" ht="20.100000000000001" customHeight="1" x14ac:dyDescent="0.15">
      <c r="B3" s="250"/>
      <c r="C3" s="251"/>
      <c r="D3" s="251"/>
      <c r="E3" s="251"/>
      <c r="F3" s="251"/>
      <c r="G3" s="251"/>
      <c r="H3" s="251"/>
      <c r="I3" s="251"/>
      <c r="J3" s="252"/>
      <c r="L3" s="124"/>
    </row>
    <row r="4" spans="2:13" ht="20.100000000000001" customHeight="1" x14ac:dyDescent="0.15">
      <c r="B4" s="250"/>
      <c r="C4" s="251"/>
      <c r="D4" s="251"/>
      <c r="E4" s="251"/>
      <c r="F4" s="251"/>
      <c r="G4" s="251"/>
      <c r="H4" s="251"/>
      <c r="I4" s="251"/>
      <c r="J4" s="252"/>
      <c r="L4" s="124"/>
    </row>
    <row r="5" spans="2:13" ht="20.100000000000001" customHeight="1" x14ac:dyDescent="0.15">
      <c r="B5" s="250"/>
      <c r="C5" s="251"/>
      <c r="D5" s="251"/>
      <c r="E5" s="251"/>
      <c r="F5" s="251"/>
      <c r="G5" s="251"/>
      <c r="H5" s="251"/>
      <c r="I5" s="251"/>
      <c r="J5" s="252"/>
      <c r="L5" s="124"/>
    </row>
    <row r="6" spans="2:13" ht="20.100000000000001" customHeight="1" x14ac:dyDescent="0.15">
      <c r="B6" s="250"/>
      <c r="C6" s="251"/>
      <c r="D6" s="251"/>
      <c r="E6" s="251"/>
      <c r="F6" s="251"/>
      <c r="G6" s="251"/>
      <c r="H6" s="251"/>
      <c r="I6" s="251"/>
      <c r="J6" s="252"/>
      <c r="L6" s="124"/>
    </row>
    <row r="7" spans="2:13" ht="20.100000000000001" customHeight="1" x14ac:dyDescent="0.15">
      <c r="B7" s="250"/>
      <c r="C7" s="251"/>
      <c r="D7" s="251"/>
      <c r="E7" s="251"/>
      <c r="F7" s="251"/>
      <c r="G7" s="251"/>
      <c r="H7" s="251"/>
      <c r="I7" s="251"/>
      <c r="J7" s="252"/>
      <c r="L7" s="124"/>
    </row>
    <row r="8" spans="2:13" ht="20.100000000000001" customHeight="1" x14ac:dyDescent="0.15">
      <c r="B8" s="253"/>
      <c r="C8" s="251"/>
      <c r="D8" s="251"/>
      <c r="E8" s="251"/>
      <c r="F8" s="251"/>
      <c r="G8" s="251"/>
      <c r="H8" s="251"/>
      <c r="I8" s="251"/>
      <c r="J8" s="252"/>
      <c r="L8" s="125"/>
    </row>
    <row r="9" spans="2:13" ht="26.1" customHeight="1" x14ac:dyDescent="0.15">
      <c r="B9" s="254"/>
      <c r="C9" s="255"/>
      <c r="D9" s="255"/>
      <c r="E9" s="255"/>
      <c r="F9" s="255"/>
      <c r="G9" s="255"/>
      <c r="H9" s="255"/>
      <c r="I9" s="255"/>
      <c r="J9" s="256"/>
      <c r="L9" s="126"/>
    </row>
    <row r="10" spans="2:13" ht="18" customHeight="1" x14ac:dyDescent="0.15">
      <c r="B10" s="241" t="s">
        <v>0</v>
      </c>
      <c r="C10" s="242"/>
      <c r="D10" s="242"/>
      <c r="E10" s="242"/>
      <c r="F10" s="242"/>
      <c r="G10" s="242"/>
      <c r="H10" s="242"/>
      <c r="I10" s="242"/>
      <c r="J10" s="243"/>
      <c r="L10" s="126"/>
    </row>
    <row r="11" spans="2:13" ht="18" customHeight="1" x14ac:dyDescent="0.15">
      <c r="B11" s="244"/>
      <c r="C11" s="245"/>
      <c r="D11" s="245"/>
      <c r="E11" s="245"/>
      <c r="F11" s="245"/>
      <c r="G11" s="245"/>
      <c r="H11" s="245"/>
      <c r="I11" s="245"/>
      <c r="J11" s="246"/>
      <c r="L11" s="126"/>
    </row>
    <row r="12" spans="2:13" ht="24.95" customHeight="1" x14ac:dyDescent="0.15">
      <c r="B12" s="185" t="s">
        <v>1</v>
      </c>
      <c r="C12" s="185"/>
      <c r="D12" s="185"/>
      <c r="E12" s="185"/>
      <c r="F12" s="185"/>
      <c r="G12" s="185"/>
      <c r="H12" s="185"/>
      <c r="I12" s="185"/>
      <c r="J12" s="185"/>
      <c r="L12" s="126"/>
    </row>
    <row r="13" spans="2:13" ht="18" customHeight="1" x14ac:dyDescent="0.15">
      <c r="B13" s="32" t="s">
        <v>2</v>
      </c>
      <c r="C13" s="186"/>
      <c r="D13" s="186"/>
      <c r="E13" s="33" t="s">
        <v>3</v>
      </c>
      <c r="F13" s="186"/>
      <c r="G13" s="186"/>
      <c r="H13" s="32" t="s">
        <v>4</v>
      </c>
      <c r="I13" s="187"/>
      <c r="J13" s="187"/>
      <c r="L13" s="126"/>
    </row>
    <row r="14" spans="2:13" ht="18" customHeight="1" x14ac:dyDescent="0.15">
      <c r="B14" s="32" t="s">
        <v>5</v>
      </c>
      <c r="C14" s="186"/>
      <c r="D14" s="186"/>
      <c r="E14" s="33" t="s">
        <v>6</v>
      </c>
      <c r="F14" s="186"/>
      <c r="G14" s="186"/>
      <c r="H14" s="32" t="s">
        <v>7</v>
      </c>
      <c r="I14" s="187"/>
      <c r="J14" s="187"/>
      <c r="L14" s="126"/>
    </row>
    <row r="15" spans="2:13" ht="18" customHeight="1" x14ac:dyDescent="0.15">
      <c r="B15" s="32" t="s">
        <v>8</v>
      </c>
      <c r="C15" s="186" t="s">
        <v>320</v>
      </c>
      <c r="D15" s="186"/>
      <c r="E15" s="33" t="s">
        <v>9</v>
      </c>
      <c r="F15" s="186"/>
      <c r="G15" s="186"/>
      <c r="H15" s="34"/>
      <c r="I15" s="188"/>
      <c r="J15" s="188"/>
      <c r="L15" s="126"/>
    </row>
    <row r="16" spans="2:13" x14ac:dyDescent="0.15">
      <c r="B16" s="35"/>
      <c r="C16" s="36"/>
      <c r="D16" s="36"/>
      <c r="E16" s="36"/>
      <c r="F16" s="36"/>
      <c r="G16" s="36"/>
      <c r="H16" s="36"/>
      <c r="I16" s="36"/>
      <c r="J16" s="127"/>
      <c r="L16" s="126"/>
      <c r="M16" s="5" t="s">
        <v>10</v>
      </c>
    </row>
    <row r="17" spans="2:12" x14ac:dyDescent="0.15">
      <c r="B17" s="189" t="s">
        <v>11</v>
      </c>
      <c r="C17" s="190"/>
      <c r="D17" s="190"/>
      <c r="E17" s="191" t="s">
        <v>12</v>
      </c>
      <c r="F17" s="192"/>
      <c r="G17" s="193"/>
      <c r="H17" s="194" t="s">
        <v>13</v>
      </c>
      <c r="I17" s="195"/>
      <c r="J17" s="196"/>
      <c r="L17" s="126"/>
    </row>
    <row r="18" spans="2:12" x14ac:dyDescent="0.15">
      <c r="B18" s="37" t="s">
        <v>14</v>
      </c>
      <c r="C18" s="38">
        <v>1000</v>
      </c>
      <c r="D18" s="39" t="s">
        <v>15</v>
      </c>
      <c r="E18" s="40" t="s">
        <v>16</v>
      </c>
      <c r="F18" s="41">
        <v>400</v>
      </c>
      <c r="G18" s="42" t="s">
        <v>17</v>
      </c>
      <c r="H18" s="43" t="s">
        <v>18</v>
      </c>
      <c r="I18" s="45" t="s">
        <v>19</v>
      </c>
      <c r="J18" s="42"/>
      <c r="L18" s="126"/>
    </row>
    <row r="19" spans="2:12" ht="16.5" x14ac:dyDescent="0.15">
      <c r="B19" s="37" t="s">
        <v>20</v>
      </c>
      <c r="C19" s="38">
        <v>200</v>
      </c>
      <c r="D19" s="39" t="s">
        <v>15</v>
      </c>
      <c r="E19" s="40" t="s">
        <v>21</v>
      </c>
      <c r="F19" s="41">
        <v>70</v>
      </c>
      <c r="G19" s="42" t="s">
        <v>22</v>
      </c>
      <c r="H19" s="43" t="s">
        <v>23</v>
      </c>
      <c r="I19" s="38">
        <v>2.65</v>
      </c>
      <c r="J19" s="42" t="s">
        <v>24</v>
      </c>
      <c r="L19" s="126"/>
    </row>
    <row r="20" spans="2:12" ht="16.5" x14ac:dyDescent="0.15">
      <c r="B20" s="37" t="s">
        <v>25</v>
      </c>
      <c r="C20" s="44">
        <f>C18+C19</f>
        <v>1200</v>
      </c>
      <c r="D20" s="39" t="s">
        <v>15</v>
      </c>
      <c r="E20" s="40" t="s">
        <v>26</v>
      </c>
      <c r="F20" s="41">
        <v>115</v>
      </c>
      <c r="G20" s="42" t="s">
        <v>22</v>
      </c>
      <c r="H20" s="43" t="s">
        <v>27</v>
      </c>
      <c r="I20" s="38">
        <v>2.5499999999999998</v>
      </c>
      <c r="J20" s="42" t="s">
        <v>24</v>
      </c>
      <c r="L20" s="126"/>
    </row>
    <row r="21" spans="2:12" ht="16.5" x14ac:dyDescent="0.15">
      <c r="B21" s="37" t="s">
        <v>28</v>
      </c>
      <c r="C21" s="38">
        <v>600</v>
      </c>
      <c r="D21" s="39" t="s">
        <v>15</v>
      </c>
      <c r="E21" s="40" t="s">
        <v>29</v>
      </c>
      <c r="F21" s="41">
        <v>150</v>
      </c>
      <c r="G21" s="42" t="s">
        <v>30</v>
      </c>
      <c r="H21" s="43" t="s">
        <v>31</v>
      </c>
      <c r="I21" s="38">
        <v>570</v>
      </c>
      <c r="J21" s="42" t="s">
        <v>32</v>
      </c>
      <c r="L21" s="126"/>
    </row>
    <row r="22" spans="2:12" ht="16.5" x14ac:dyDescent="0.15">
      <c r="B22" s="37" t="s">
        <v>33</v>
      </c>
      <c r="C22" s="45">
        <v>1</v>
      </c>
      <c r="D22" s="39"/>
      <c r="E22" s="40" t="s">
        <v>34</v>
      </c>
      <c r="F22" s="46">
        <f>压射活塞面积/名义冲头面积*名义快压蓄能器压力</f>
        <v>404.84693877551024</v>
      </c>
      <c r="G22" s="42" t="s">
        <v>30</v>
      </c>
      <c r="H22" s="43" t="s">
        <v>35</v>
      </c>
      <c r="I22" s="38">
        <v>0.5</v>
      </c>
      <c r="J22" s="128" t="s">
        <v>36</v>
      </c>
      <c r="L22" s="126"/>
    </row>
    <row r="23" spans="2:12" x14ac:dyDescent="0.15">
      <c r="B23" s="37" t="s">
        <v>37</v>
      </c>
      <c r="C23" s="47">
        <f>C20*C22</f>
        <v>1200</v>
      </c>
      <c r="D23" s="39" t="s">
        <v>15</v>
      </c>
      <c r="E23" s="48" t="s">
        <v>38</v>
      </c>
      <c r="F23" s="41">
        <v>5</v>
      </c>
      <c r="G23" s="42" t="s">
        <v>39</v>
      </c>
      <c r="H23" s="43" t="s">
        <v>40</v>
      </c>
      <c r="I23" s="38" t="s">
        <v>41</v>
      </c>
      <c r="J23" s="42" t="s">
        <v>42</v>
      </c>
      <c r="L23" s="126"/>
    </row>
    <row r="24" spans="2:12" ht="16.5" x14ac:dyDescent="0.15">
      <c r="B24" s="37" t="s">
        <v>43</v>
      </c>
      <c r="C24" s="47">
        <f>填充重量/液体密度</f>
        <v>470.58823529411768</v>
      </c>
      <c r="D24" s="39" t="s">
        <v>44</v>
      </c>
      <c r="E24" s="40" t="s">
        <v>45</v>
      </c>
      <c r="F24" s="49">
        <f>名义冲头面积*名义最大冲头速度/10</f>
        <v>19.242255003237482</v>
      </c>
      <c r="G24" s="42" t="s">
        <v>46</v>
      </c>
      <c r="L24" s="126"/>
    </row>
    <row r="25" spans="2:12" ht="16.5" x14ac:dyDescent="0.15">
      <c r="B25" s="37" t="s">
        <v>47</v>
      </c>
      <c r="C25" s="47">
        <f>C21+填充重量</f>
        <v>1800</v>
      </c>
      <c r="D25" s="39" t="s">
        <v>15</v>
      </c>
      <c r="E25" s="50" t="s">
        <v>48</v>
      </c>
      <c r="F25" s="41">
        <v>145</v>
      </c>
      <c r="G25" s="42" t="s">
        <v>30</v>
      </c>
      <c r="L25" s="126"/>
    </row>
    <row r="26" spans="2:12" ht="18" customHeight="1" x14ac:dyDescent="0.15">
      <c r="B26" s="51" t="s">
        <v>49</v>
      </c>
      <c r="C26" s="52">
        <f>浇注重量/液体密度</f>
        <v>705.88235294117646</v>
      </c>
      <c r="D26" s="39" t="s">
        <v>44</v>
      </c>
      <c r="E26" s="40" t="s">
        <v>50</v>
      </c>
      <c r="F26" s="41">
        <v>350</v>
      </c>
      <c r="G26" s="42" t="s">
        <v>22</v>
      </c>
      <c r="H26" s="53"/>
      <c r="I26" s="129"/>
      <c r="J26" s="42"/>
      <c r="L26" s="126"/>
    </row>
    <row r="27" spans="2:12" ht="16.5" x14ac:dyDescent="0.15">
      <c r="B27" s="37" t="s">
        <v>51</v>
      </c>
      <c r="C27" s="45">
        <v>3</v>
      </c>
      <c r="D27" s="39" t="s">
        <v>22</v>
      </c>
      <c r="E27" s="40" t="s">
        <v>52</v>
      </c>
      <c r="F27" s="49">
        <f>PI()*POWER(名义冲头直径,2)/4/100</f>
        <v>38.484510006474963</v>
      </c>
      <c r="G27" s="42" t="s">
        <v>53</v>
      </c>
      <c r="H27" s="53"/>
      <c r="I27" s="129"/>
      <c r="J27" s="42"/>
      <c r="L27" s="126"/>
    </row>
    <row r="28" spans="2:12" ht="16.5" x14ac:dyDescent="0.15">
      <c r="B28" s="37" t="s">
        <v>54</v>
      </c>
      <c r="C28" s="45">
        <v>2</v>
      </c>
      <c r="D28" s="39" t="s">
        <v>22</v>
      </c>
      <c r="E28" s="54" t="s">
        <v>55</v>
      </c>
      <c r="F28" s="55">
        <f>PI()*POWER(压射缸直径,2)/4/100</f>
        <v>103.86890710931253</v>
      </c>
      <c r="G28" s="42" t="s">
        <v>53</v>
      </c>
      <c r="H28" s="53"/>
      <c r="I28" s="129"/>
      <c r="J28" s="42"/>
      <c r="L28" s="126"/>
    </row>
    <row r="29" spans="2:12" ht="16.5" x14ac:dyDescent="0.15">
      <c r="B29" s="37" t="s">
        <v>56</v>
      </c>
      <c r="C29" s="45">
        <v>660</v>
      </c>
      <c r="D29" s="39" t="s">
        <v>32</v>
      </c>
      <c r="E29" s="56" t="s">
        <v>57</v>
      </c>
      <c r="F29" s="57">
        <f>(C25/I20/0.25/3.14/F26/10/25)^0.5*1000</f>
        <v>101.37416906603815</v>
      </c>
      <c r="G29" s="58" t="s">
        <v>22</v>
      </c>
      <c r="H29" s="59" t="s">
        <v>58</v>
      </c>
      <c r="I29" s="130">
        <f>F28*F21/F29/F29/4/3.14*1000</f>
        <v>120.70703072273621</v>
      </c>
      <c r="J29" s="42" t="s">
        <v>24</v>
      </c>
      <c r="L29" s="126"/>
    </row>
    <row r="30" spans="2:12" ht="33.950000000000003" customHeight="1" x14ac:dyDescent="0.15">
      <c r="B30" s="60" t="s">
        <v>59</v>
      </c>
      <c r="C30" s="61">
        <v>80</v>
      </c>
      <c r="D30" s="62" t="s">
        <v>60</v>
      </c>
      <c r="E30" s="63" t="s">
        <v>61</v>
      </c>
      <c r="F30" s="64">
        <f>(C25/I20/0.25/3.14/F26/10/55)^0.5*1000</f>
        <v>68.346450841648362</v>
      </c>
      <c r="G30" s="65" t="s">
        <v>22</v>
      </c>
      <c r="H30" s="59" t="s">
        <v>62</v>
      </c>
      <c r="I30" s="53">
        <f>F28*F21/F30/F30/4/3.14*1000</f>
        <v>265.55546759001976</v>
      </c>
      <c r="J30" s="42" t="s">
        <v>24</v>
      </c>
      <c r="L30" s="126"/>
    </row>
    <row r="31" spans="2:12" x14ac:dyDescent="0.15">
      <c r="B31" s="66"/>
      <c r="C31" s="67"/>
      <c r="D31" s="68"/>
      <c r="E31" s="69" t="s">
        <v>63</v>
      </c>
      <c r="F31" s="70">
        <v>70</v>
      </c>
      <c r="G31" s="71" t="s">
        <v>22</v>
      </c>
      <c r="H31" s="72"/>
      <c r="I31" s="130"/>
      <c r="J31" s="42"/>
      <c r="L31" s="126"/>
    </row>
    <row r="32" spans="2:12" ht="16.5" x14ac:dyDescent="0.15">
      <c r="B32" s="73" t="s">
        <v>64</v>
      </c>
      <c r="C32" s="74"/>
      <c r="D32" s="75"/>
      <c r="E32" s="76" t="s">
        <v>65</v>
      </c>
      <c r="F32" s="77">
        <f>PI()*POWER(设定冲头直径,2)/4/100</f>
        <v>38.484510006474963</v>
      </c>
      <c r="G32" s="42" t="s">
        <v>53</v>
      </c>
      <c r="H32" s="78"/>
      <c r="I32" s="131"/>
      <c r="J32" s="42"/>
      <c r="L32" s="126"/>
    </row>
    <row r="33" spans="2:12" ht="16.5" x14ac:dyDescent="0.15">
      <c r="B33" s="79" t="s">
        <v>66</v>
      </c>
      <c r="C33" s="44">
        <f>0.0268*POWER(填充体积,0.745)*100</f>
        <v>262.57440371522733</v>
      </c>
      <c r="D33" s="42" t="s">
        <v>67</v>
      </c>
      <c r="E33" s="37" t="s">
        <v>68</v>
      </c>
      <c r="F33" s="80">
        <v>140</v>
      </c>
      <c r="G33" s="42" t="s">
        <v>30</v>
      </c>
      <c r="H33" s="72"/>
      <c r="I33" s="131"/>
      <c r="J33" s="42"/>
      <c r="L33" s="126"/>
    </row>
    <row r="34" spans="2:12" ht="16.5" x14ac:dyDescent="0.15">
      <c r="B34" s="81" t="s">
        <v>69</v>
      </c>
      <c r="C34" s="45">
        <v>220</v>
      </c>
      <c r="D34" s="82" t="s">
        <v>32</v>
      </c>
      <c r="E34" s="37" t="s">
        <v>70</v>
      </c>
      <c r="F34" s="46">
        <f>压射活塞面积/设定冲头面积*设定快压蓄能器压力</f>
        <v>377.85714285714289</v>
      </c>
      <c r="G34" s="42" t="s">
        <v>30</v>
      </c>
      <c r="H34" s="72"/>
      <c r="I34" s="131"/>
      <c r="J34" s="42"/>
      <c r="L34" s="126"/>
    </row>
    <row r="35" spans="2:12" x14ac:dyDescent="0.15">
      <c r="B35" s="83" t="s">
        <v>71</v>
      </c>
      <c r="C35" s="38">
        <v>1.8</v>
      </c>
      <c r="D35" s="42" t="s">
        <v>22</v>
      </c>
      <c r="E35" s="37" t="s">
        <v>72</v>
      </c>
      <c r="F35" s="49">
        <f>设定冲头面积/压射活塞面积*所需增压比压</f>
        <v>29.640831758034025</v>
      </c>
      <c r="G35" s="42" t="s">
        <v>60</v>
      </c>
      <c r="H35" s="72"/>
      <c r="I35" s="130"/>
      <c r="J35" s="42"/>
      <c r="L35" s="126"/>
    </row>
    <row r="36" spans="2:12" x14ac:dyDescent="0.15">
      <c r="B36" s="83" t="s">
        <v>73</v>
      </c>
      <c r="C36" s="38">
        <v>130</v>
      </c>
      <c r="D36" s="42" t="s">
        <v>22</v>
      </c>
      <c r="E36" s="37" t="s">
        <v>74</v>
      </c>
      <c r="F36" s="49">
        <f>浇注体积/(设定冲头面积*压室长度)*1000</f>
        <v>52.405674967662335</v>
      </c>
      <c r="G36" s="42" t="s">
        <v>75</v>
      </c>
      <c r="H36" s="72"/>
      <c r="I36" s="130"/>
      <c r="J36" s="42"/>
      <c r="L36" s="126"/>
    </row>
    <row r="37" spans="2:12" ht="32.1" customHeight="1" x14ac:dyDescent="0.15">
      <c r="B37" s="84" t="s">
        <v>76</v>
      </c>
      <c r="C37" s="38">
        <v>0</v>
      </c>
      <c r="D37" s="85" t="s">
        <v>77</v>
      </c>
      <c r="E37" s="86" t="s">
        <v>78</v>
      </c>
      <c r="F37" s="87">
        <f>填充体积/设定冲头面积*10+10</f>
        <v>132.27990825787879</v>
      </c>
      <c r="G37" s="88" t="s">
        <v>22</v>
      </c>
      <c r="H37" s="72"/>
      <c r="I37" s="130"/>
      <c r="J37" s="42"/>
      <c r="L37" s="126"/>
    </row>
    <row r="38" spans="2:12" ht="16.5" x14ac:dyDescent="0.15">
      <c r="B38" s="83" t="s">
        <v>79</v>
      </c>
      <c r="C38" s="47">
        <f>浇口厚度*浇口宽度_单腔*型腔数量</f>
        <v>234</v>
      </c>
      <c r="D38" s="42" t="s">
        <v>67</v>
      </c>
      <c r="E38" s="89" t="s">
        <v>80</v>
      </c>
      <c r="F38" s="90">
        <f>F26-F37-设定冲头直径*0.3</f>
        <v>196.72009174212121</v>
      </c>
      <c r="G38" s="42" t="s">
        <v>22</v>
      </c>
      <c r="H38" s="72"/>
      <c r="I38" s="130"/>
      <c r="J38" s="42"/>
      <c r="L38" s="126"/>
    </row>
    <row r="39" spans="2:12" ht="25.5" x14ac:dyDescent="0.15">
      <c r="B39" s="83" t="s">
        <v>81</v>
      </c>
      <c r="C39" s="91">
        <f>浇口面积_实际*COS(流动角*PI()/180)</f>
        <v>234</v>
      </c>
      <c r="D39" s="42" t="s">
        <v>67</v>
      </c>
      <c r="E39" s="92" t="s">
        <v>82</v>
      </c>
      <c r="F39" s="93">
        <f>POWER(9.8*设定冲头直径/1000,0.5)*(1.35+0.5*POWER(压室充满度/100,2)-1.85*压室充满度/100)</f>
        <v>0.42887901711359877</v>
      </c>
      <c r="G39" s="42" t="s">
        <v>39</v>
      </c>
      <c r="H39" s="72"/>
      <c r="I39" s="130"/>
      <c r="J39" s="42"/>
      <c r="L39" s="126"/>
    </row>
    <row r="40" spans="2:12" ht="16.5" x14ac:dyDescent="0.15">
      <c r="B40" s="94" t="s">
        <v>83</v>
      </c>
      <c r="C40" s="95">
        <f>浇口厚度*浇口宽度_单腔/(浇口厚度+浇口宽度_单腔)</f>
        <v>1.7754172989377843</v>
      </c>
      <c r="D40" s="96"/>
      <c r="E40" s="89" t="s">
        <v>84</v>
      </c>
      <c r="F40" s="49">
        <f>9.8*设定冲头直径/压室长度*(1+压室充满度/100)/(1-压室充满度/100)*POWER(0.96+0.35*POWER(压室充满度/100,2)-1.31*压室充满度/100,2)</f>
        <v>0.85740288249214625</v>
      </c>
      <c r="G40" s="42" t="s">
        <v>85</v>
      </c>
      <c r="H40" s="53"/>
      <c r="I40" s="129"/>
      <c r="J40" s="42"/>
      <c r="L40" s="126"/>
    </row>
    <row r="41" spans="2:12" ht="41.1" customHeight="1" x14ac:dyDescent="0.15">
      <c r="B41" s="84" t="s">
        <v>86</v>
      </c>
      <c r="C41" s="97">
        <f>550*C39/F32*C56^0.5/1000</f>
        <v>9.387076201895967</v>
      </c>
      <c r="D41" s="42" t="s">
        <v>39</v>
      </c>
      <c r="E41" s="98" t="s">
        <v>87</v>
      </c>
      <c r="F41" s="99">
        <f>0.7*(F31/100)^0.5/F36*10</f>
        <v>0.11175545757882975</v>
      </c>
      <c r="G41" s="42" t="s">
        <v>39</v>
      </c>
      <c r="H41" s="53"/>
      <c r="I41" s="129"/>
      <c r="J41" s="42"/>
      <c r="L41" s="126"/>
    </row>
    <row r="42" spans="2:12" x14ac:dyDescent="0.15">
      <c r="B42" s="100"/>
      <c r="C42" s="101"/>
      <c r="D42" s="102"/>
      <c r="E42" s="89" t="s">
        <v>88</v>
      </c>
      <c r="F42" s="49">
        <f>设定空压射冲头速度*设定冲头面积/10</f>
        <v>9.2948922232721003</v>
      </c>
      <c r="G42" s="42" t="s">
        <v>46</v>
      </c>
      <c r="H42" s="53"/>
      <c r="I42" s="129"/>
      <c r="J42" s="42"/>
      <c r="L42" s="126"/>
    </row>
    <row r="43" spans="2:12" ht="15.75" customHeight="1" x14ac:dyDescent="0.15">
      <c r="B43" s="197" t="s">
        <v>89</v>
      </c>
      <c r="C43" s="198"/>
      <c r="D43" s="199"/>
      <c r="E43" s="89" t="s">
        <v>90</v>
      </c>
      <c r="F43" s="49">
        <f>名义最大冲头速度*POWER(设定快压蓄能器压力/名义快压蓄能器压力,0.5)*设置压射速度/100</f>
        <v>2.4152294576982398</v>
      </c>
      <c r="G43" s="42" t="s">
        <v>39</v>
      </c>
      <c r="H43" s="53"/>
      <c r="I43" s="129"/>
      <c r="J43" s="42"/>
      <c r="L43" s="126"/>
    </row>
    <row r="44" spans="2:12" ht="32.1" customHeight="1" x14ac:dyDescent="0.15">
      <c r="B44" s="89" t="s">
        <v>91</v>
      </c>
      <c r="C44" s="103">
        <f>30+40/C27</f>
        <v>43.333333333333336</v>
      </c>
      <c r="D44" s="42" t="s">
        <v>39</v>
      </c>
      <c r="E44" s="104" t="s">
        <v>92</v>
      </c>
      <c r="F44" s="105">
        <v>50</v>
      </c>
      <c r="G44" s="42" t="s">
        <v>93</v>
      </c>
      <c r="H44" s="53"/>
      <c r="I44" s="129"/>
      <c r="J44" s="42"/>
      <c r="L44" s="126"/>
    </row>
    <row r="45" spans="2:12" ht="15.75" customHeight="1" x14ac:dyDescent="0.15">
      <c r="B45" s="89" t="s">
        <v>94</v>
      </c>
      <c r="C45" s="103">
        <f>最大期望充型速度*0.6</f>
        <v>26</v>
      </c>
      <c r="D45" s="39" t="s">
        <v>39</v>
      </c>
      <c r="E45" s="104" t="s">
        <v>95</v>
      </c>
      <c r="F45" s="106">
        <f>F44*F23/100</f>
        <v>2.5</v>
      </c>
      <c r="G45" s="42" t="s">
        <v>39</v>
      </c>
      <c r="H45" s="53"/>
      <c r="I45" s="129"/>
      <c r="J45" s="42"/>
      <c r="L45" s="126"/>
    </row>
    <row r="46" spans="2:12" x14ac:dyDescent="0.15">
      <c r="B46" s="89" t="s">
        <v>96</v>
      </c>
      <c r="C46" s="103">
        <f>C27*C27*10*3.5/4</f>
        <v>78.75</v>
      </c>
      <c r="D46" s="39" t="s">
        <v>97</v>
      </c>
      <c r="E46" s="107"/>
      <c r="F46" s="107"/>
      <c r="G46" s="107"/>
      <c r="H46" s="53"/>
      <c r="I46" s="129"/>
      <c r="J46" s="42"/>
      <c r="L46" s="126"/>
    </row>
    <row r="47" spans="2:12" x14ac:dyDescent="0.15">
      <c r="B47" s="89" t="s">
        <v>98</v>
      </c>
      <c r="C47" s="103">
        <f>C28*C28*10*3.5/4</f>
        <v>35</v>
      </c>
      <c r="D47" s="39" t="s">
        <v>97</v>
      </c>
      <c r="E47" s="107"/>
      <c r="F47" s="107"/>
      <c r="G47" s="107"/>
      <c r="H47" s="53"/>
      <c r="I47" s="129"/>
      <c r="J47" s="42"/>
      <c r="L47" s="126"/>
    </row>
    <row r="48" spans="2:12" x14ac:dyDescent="0.15">
      <c r="B48" s="89" t="s">
        <v>99</v>
      </c>
      <c r="C48" s="103">
        <f>C46/3</f>
        <v>26.25</v>
      </c>
      <c r="D48" s="42" t="s">
        <v>97</v>
      </c>
      <c r="E48" s="108"/>
      <c r="F48" s="109"/>
      <c r="G48" s="102"/>
      <c r="H48" s="53"/>
      <c r="I48" s="129"/>
      <c r="J48" s="42"/>
      <c r="L48" s="126"/>
    </row>
    <row r="49" spans="2:24" ht="15.95" customHeight="1" x14ac:dyDescent="0.15">
      <c r="B49" s="89" t="s">
        <v>100</v>
      </c>
      <c r="C49" s="110">
        <f>填充体积/最小期望充型时间</f>
        <v>17.927170868347339</v>
      </c>
      <c r="D49" s="42" t="s">
        <v>46</v>
      </c>
      <c r="E49" s="36"/>
      <c r="F49" s="36"/>
      <c r="G49" s="36"/>
      <c r="H49" s="36"/>
      <c r="I49" s="36"/>
      <c r="J49" s="127"/>
      <c r="L49" s="126"/>
    </row>
    <row r="50" spans="2:24" ht="15.95" customHeight="1" x14ac:dyDescent="0.15">
      <c r="B50" s="89" t="s">
        <v>101</v>
      </c>
      <c r="C50" s="110">
        <f>填充体积/最大期望充型时间</f>
        <v>5.9757236227824464</v>
      </c>
      <c r="D50" s="42" t="s">
        <v>46</v>
      </c>
      <c r="E50" s="36"/>
      <c r="F50" s="36"/>
      <c r="G50" s="36"/>
      <c r="H50" s="36"/>
      <c r="I50" s="36"/>
      <c r="J50" s="127"/>
      <c r="L50" s="126"/>
      <c r="M50" s="132"/>
      <c r="N50" s="133"/>
      <c r="O50" s="133"/>
    </row>
    <row r="51" spans="2:24" ht="15.95" customHeight="1" x14ac:dyDescent="0.15">
      <c r="B51" s="89" t="s">
        <v>102</v>
      </c>
      <c r="C51" s="110">
        <f>液体密度*POWER(最大期望充型速度,2)/POWER(流量系数,2)/2000</f>
        <v>9.576666666666668</v>
      </c>
      <c r="D51" s="42" t="s">
        <v>60</v>
      </c>
      <c r="E51" s="36"/>
      <c r="F51" s="36"/>
      <c r="G51" s="36"/>
      <c r="H51" s="36"/>
      <c r="I51" s="36"/>
      <c r="J51" s="127"/>
      <c r="L51" s="126"/>
    </row>
    <row r="52" spans="2:24" ht="15.95" customHeight="1" x14ac:dyDescent="0.15">
      <c r="B52" s="111" t="s">
        <v>103</v>
      </c>
      <c r="C52" s="112">
        <f>液体密度*POWER(最小期望充型速度,2)/POWER(流量系数,2)/2000</f>
        <v>3.4476</v>
      </c>
      <c r="D52" s="102" t="s">
        <v>60</v>
      </c>
      <c r="E52" s="36"/>
      <c r="F52" s="36"/>
      <c r="G52" s="36"/>
      <c r="H52" s="36"/>
      <c r="I52" s="36"/>
      <c r="J52" s="127"/>
      <c r="L52" s="126"/>
    </row>
    <row r="53" spans="2:24" ht="15.95" customHeight="1" x14ac:dyDescent="0.15">
      <c r="B53" s="113" t="s">
        <v>104</v>
      </c>
      <c r="C53" s="114">
        <f>工作点充型流量/浇口面积_有效*1000</f>
        <v>39.305440680367305</v>
      </c>
      <c r="D53" s="68" t="s">
        <v>39</v>
      </c>
      <c r="E53" s="36"/>
      <c r="F53" s="36"/>
      <c r="G53" s="36"/>
      <c r="H53" s="36"/>
      <c r="I53" s="36"/>
      <c r="J53" s="127"/>
      <c r="L53" s="126"/>
      <c r="M53" s="134"/>
      <c r="N53" s="200" t="s">
        <v>105</v>
      </c>
      <c r="O53" s="200"/>
      <c r="P53" s="200"/>
      <c r="Q53" s="200"/>
      <c r="R53" s="200"/>
      <c r="S53" s="200"/>
      <c r="T53" s="136"/>
      <c r="U53" s="136"/>
      <c r="V53" s="137"/>
      <c r="W53" s="137"/>
      <c r="X53" s="34"/>
    </row>
    <row r="54" spans="2:24" ht="15.95" customHeight="1" x14ac:dyDescent="0.15">
      <c r="B54" s="115" t="s">
        <v>106</v>
      </c>
      <c r="C54" s="110">
        <f>填充重量/液体密度/工作点充型流量</f>
        <v>51.164948154232299</v>
      </c>
      <c r="D54" s="42" t="s">
        <v>97</v>
      </c>
      <c r="E54" s="36"/>
      <c r="F54" s="36"/>
      <c r="G54" s="36"/>
      <c r="H54" s="36"/>
      <c r="I54" s="36"/>
      <c r="J54" s="127"/>
      <c r="L54" s="126"/>
      <c r="M54" s="135" t="s">
        <v>107</v>
      </c>
      <c r="N54" s="134" t="s">
        <v>108</v>
      </c>
      <c r="O54" s="134" t="s">
        <v>109</v>
      </c>
      <c r="P54" s="134" t="s">
        <v>110</v>
      </c>
      <c r="Q54" s="134" t="s">
        <v>111</v>
      </c>
      <c r="R54" s="134" t="s">
        <v>112</v>
      </c>
      <c r="S54" s="134" t="s">
        <v>113</v>
      </c>
      <c r="T54" s="138" t="s">
        <v>114</v>
      </c>
      <c r="U54" s="136" t="s">
        <v>115</v>
      </c>
      <c r="V54" s="139" t="s">
        <v>116</v>
      </c>
      <c r="W54" s="139" t="s">
        <v>117</v>
      </c>
      <c r="X54" s="34"/>
    </row>
    <row r="55" spans="2:24" ht="15.95" customHeight="1" x14ac:dyDescent="0.15">
      <c r="B55" s="115" t="s">
        <v>118</v>
      </c>
      <c r="C55" s="110">
        <f>POWER(工作点充型压力/500/液体密度*POWER(流量系数*浇口面积_有效,2),0.5)</f>
        <v>9.1974731192059505</v>
      </c>
      <c r="D55" s="42" t="s">
        <v>46</v>
      </c>
      <c r="E55" s="36"/>
      <c r="F55" s="36"/>
      <c r="G55" s="36"/>
      <c r="H55" s="36"/>
      <c r="I55" s="36"/>
      <c r="J55" s="127"/>
      <c r="L55" s="126"/>
      <c r="M55" s="136">
        <v>0</v>
      </c>
      <c r="N55" s="136">
        <f t="shared" ref="N55:N86" si="0">(-名义最大充型压力*POWER(M55,2)/POWER(名义最大充型流量,2)+名义最大充型压力)</f>
        <v>404.84693877551024</v>
      </c>
      <c r="O55" s="136">
        <f t="shared" ref="O55:O86" si="1">(-设定最大充型压力*POWER(M55,2)/POWER(设定空压射充型流量,2)+设定最大充型压力)</f>
        <v>377.85714285714289</v>
      </c>
      <c r="P55" s="136">
        <f t="shared" ref="P55:P86" si="2">最大期望充型压力</f>
        <v>9.576666666666668</v>
      </c>
      <c r="Q55" s="136">
        <f t="shared" ref="Q55:Q86" si="3">最小期望充型压力</f>
        <v>3.4476</v>
      </c>
      <c r="R55" s="136">
        <f t="shared" ref="R55:R86" si="4">最大期望填充流量</f>
        <v>17.927170868347339</v>
      </c>
      <c r="S55" s="136">
        <f t="shared" ref="S55:S86" si="5">最小期望填充流量</f>
        <v>5.9757236227824464</v>
      </c>
      <c r="T55" s="136">
        <v>0</v>
      </c>
      <c r="U55" s="136">
        <f t="shared" ref="U55:U86" si="6">POWER((T55/流量系数/浇口面积_实际),2)*液体密度/2*1000</f>
        <v>0</v>
      </c>
      <c r="V55" s="137">
        <v>0</v>
      </c>
      <c r="W55" s="137">
        <v>0</v>
      </c>
      <c r="X55" s="34"/>
    </row>
    <row r="56" spans="2:24" ht="15.95" customHeight="1" x14ac:dyDescent="0.15">
      <c r="B56" s="115" t="s">
        <v>119</v>
      </c>
      <c r="C56" s="110">
        <f>设定最大充型压力/(1+(设定最大充型压力/(500*液体密度)*POWER(流量系数*浇口面积_有效/设定空压射充型流量,2)))</f>
        <v>7.8790801020971557</v>
      </c>
      <c r="D56" s="42" t="s">
        <v>60</v>
      </c>
      <c r="E56" s="36"/>
      <c r="F56" s="36"/>
      <c r="G56" s="36"/>
      <c r="H56" s="36"/>
      <c r="I56" s="36"/>
      <c r="J56" s="127"/>
      <c r="L56" s="126"/>
      <c r="M56" s="136">
        <f t="shared" ref="M56:M87" si="7">M55+MAX(名义最大充型流量,设定空压射充型流量)/50</f>
        <v>0.38484510006474965</v>
      </c>
      <c r="N56" s="136">
        <f t="shared" si="0"/>
        <v>404.68500000000006</v>
      </c>
      <c r="O56" s="136">
        <f t="shared" si="1"/>
        <v>377.20938775510206</v>
      </c>
      <c r="P56" s="136">
        <f t="shared" si="2"/>
        <v>9.576666666666668</v>
      </c>
      <c r="Q56" s="136">
        <f t="shared" si="3"/>
        <v>3.4476</v>
      </c>
      <c r="R56" s="136">
        <f t="shared" si="4"/>
        <v>17.927170868347339</v>
      </c>
      <c r="S56" s="136">
        <f t="shared" si="5"/>
        <v>5.9757236227824464</v>
      </c>
      <c r="T56" s="136">
        <f t="shared" ref="T56:T87" si="8">T55+POWER(2*MAX(名义最大充型压力,设定最大充型压力)*POWER(流量系数*浇口面积_有效,2)/1000/液体密度,0.5)/50</f>
        <v>1.3185791217671181</v>
      </c>
      <c r="U56" s="136">
        <f t="shared" si="6"/>
        <v>0.16193877551020414</v>
      </c>
      <c r="V56" s="137">
        <f t="shared" ref="V56:V87" si="9">V55+最大期望填充流量/40</f>
        <v>0.44817927170868349</v>
      </c>
      <c r="W56" s="137">
        <f t="shared" ref="W56:W87" si="10">W55+最大期望充型压力/40</f>
        <v>0.23941666666666669</v>
      </c>
      <c r="X56" s="34"/>
    </row>
    <row r="57" spans="2:24" ht="15.95" customHeight="1" x14ac:dyDescent="0.15">
      <c r="B57" s="115" t="s">
        <v>120</v>
      </c>
      <c r="C57" s="110">
        <f>浇口面积_有效/设定冲头面积/100*工作点充型速度</f>
        <v>2.3899156095942207</v>
      </c>
      <c r="D57" s="42" t="s">
        <v>39</v>
      </c>
      <c r="E57" s="36"/>
      <c r="F57" s="36"/>
      <c r="G57" s="36"/>
      <c r="H57" s="36"/>
      <c r="I57" s="36"/>
      <c r="J57" s="127"/>
      <c r="L57" s="126"/>
      <c r="M57" s="136">
        <f t="shared" si="7"/>
        <v>0.76969020012949929</v>
      </c>
      <c r="N57" s="136">
        <f t="shared" si="0"/>
        <v>404.19918367346941</v>
      </c>
      <c r="O57" s="136">
        <f t="shared" si="1"/>
        <v>375.26612244897962</v>
      </c>
      <c r="P57" s="136">
        <f t="shared" si="2"/>
        <v>9.576666666666668</v>
      </c>
      <c r="Q57" s="136">
        <f t="shared" si="3"/>
        <v>3.4476</v>
      </c>
      <c r="R57" s="136">
        <f t="shared" si="4"/>
        <v>17.927170868347339</v>
      </c>
      <c r="S57" s="136">
        <f t="shared" si="5"/>
        <v>5.9757236227824464</v>
      </c>
      <c r="T57" s="136">
        <f t="shared" si="8"/>
        <v>2.6371582435342362</v>
      </c>
      <c r="U57" s="136">
        <f t="shared" si="6"/>
        <v>0.64775510204081654</v>
      </c>
      <c r="V57" s="137">
        <f t="shared" si="9"/>
        <v>0.89635854341736698</v>
      </c>
      <c r="W57" s="137">
        <f t="shared" si="10"/>
        <v>0.47883333333333339</v>
      </c>
      <c r="X57" s="34"/>
    </row>
    <row r="58" spans="2:24" ht="15.95" customHeight="1" x14ac:dyDescent="0.15">
      <c r="B58" s="116"/>
      <c r="C58" s="117"/>
      <c r="D58" s="118"/>
      <c r="E58" s="36"/>
      <c r="F58" s="36"/>
      <c r="G58" s="36"/>
      <c r="H58" s="36"/>
      <c r="I58" s="36"/>
      <c r="J58" s="127"/>
      <c r="L58" s="126"/>
      <c r="M58" s="136">
        <f t="shared" si="7"/>
        <v>1.1545353001942489</v>
      </c>
      <c r="N58" s="136">
        <f t="shared" si="0"/>
        <v>403.38948979591839</v>
      </c>
      <c r="O58" s="136">
        <f t="shared" si="1"/>
        <v>372.02734693877557</v>
      </c>
      <c r="P58" s="136">
        <f t="shared" si="2"/>
        <v>9.576666666666668</v>
      </c>
      <c r="Q58" s="136">
        <f t="shared" si="3"/>
        <v>3.4476</v>
      </c>
      <c r="R58" s="136">
        <f t="shared" si="4"/>
        <v>17.927170868347339</v>
      </c>
      <c r="S58" s="136">
        <f t="shared" si="5"/>
        <v>5.9757236227824464</v>
      </c>
      <c r="T58" s="136">
        <f t="shared" si="8"/>
        <v>3.9557373653013546</v>
      </c>
      <c r="U58" s="136">
        <f t="shared" si="6"/>
        <v>1.4574489795918371</v>
      </c>
      <c r="V58" s="137">
        <f t="shared" si="9"/>
        <v>1.3445378151260505</v>
      </c>
      <c r="W58" s="137">
        <f t="shared" si="10"/>
        <v>0.71825000000000006</v>
      </c>
      <c r="X58" s="34"/>
    </row>
    <row r="59" spans="2:24" ht="15.95" customHeight="1" x14ac:dyDescent="0.15">
      <c r="B59" s="225" t="s">
        <v>121</v>
      </c>
      <c r="C59" s="119" t="s">
        <v>122</v>
      </c>
      <c r="D59" s="120">
        <v>200</v>
      </c>
      <c r="E59" s="36"/>
      <c r="F59" s="36"/>
      <c r="G59" s="36"/>
      <c r="H59" s="36"/>
      <c r="I59" s="36"/>
      <c r="J59" s="127"/>
      <c r="L59" s="126"/>
      <c r="M59" s="136">
        <f t="shared" si="7"/>
        <v>1.5393804002589986</v>
      </c>
      <c r="N59" s="136">
        <f t="shared" si="0"/>
        <v>402.25591836734696</v>
      </c>
      <c r="O59" s="136">
        <f t="shared" si="1"/>
        <v>367.49306122448985</v>
      </c>
      <c r="P59" s="136">
        <f t="shared" si="2"/>
        <v>9.576666666666668</v>
      </c>
      <c r="Q59" s="136">
        <f t="shared" si="3"/>
        <v>3.4476</v>
      </c>
      <c r="R59" s="136">
        <f t="shared" si="4"/>
        <v>17.927170868347339</v>
      </c>
      <c r="S59" s="136">
        <f t="shared" si="5"/>
        <v>5.9757236227824464</v>
      </c>
      <c r="T59" s="136">
        <f t="shared" si="8"/>
        <v>5.2743164870684724</v>
      </c>
      <c r="U59" s="136">
        <f t="shared" si="6"/>
        <v>2.5910204081632662</v>
      </c>
      <c r="V59" s="137">
        <f t="shared" si="9"/>
        <v>1.792717086834734</v>
      </c>
      <c r="W59" s="137">
        <f t="shared" si="10"/>
        <v>0.95766666666666678</v>
      </c>
      <c r="X59" s="34"/>
    </row>
    <row r="60" spans="2:24" ht="15.95" customHeight="1" x14ac:dyDescent="0.15">
      <c r="B60" s="226"/>
      <c r="C60" s="121" t="s">
        <v>123</v>
      </c>
      <c r="D60" s="122">
        <v>80</v>
      </c>
      <c r="E60" s="36"/>
      <c r="F60" s="36"/>
      <c r="G60" s="36"/>
      <c r="H60" s="36"/>
      <c r="I60" s="36"/>
      <c r="J60" s="127"/>
      <c r="L60" s="126"/>
      <c r="M60" s="136">
        <f t="shared" si="7"/>
        <v>1.9242255003237483</v>
      </c>
      <c r="N60" s="136">
        <f t="shared" si="0"/>
        <v>400.79846938775512</v>
      </c>
      <c r="O60" s="136">
        <f t="shared" si="1"/>
        <v>361.66326530612247</v>
      </c>
      <c r="P60" s="136">
        <f t="shared" si="2"/>
        <v>9.576666666666668</v>
      </c>
      <c r="Q60" s="136">
        <f t="shared" si="3"/>
        <v>3.4476</v>
      </c>
      <c r="R60" s="136">
        <f t="shared" si="4"/>
        <v>17.927170868347339</v>
      </c>
      <c r="S60" s="136">
        <f t="shared" si="5"/>
        <v>5.9757236227824464</v>
      </c>
      <c r="T60" s="136">
        <f t="shared" si="8"/>
        <v>6.5928956088355903</v>
      </c>
      <c r="U60" s="136">
        <f t="shared" si="6"/>
        <v>4.0484693877551026</v>
      </c>
      <c r="V60" s="137">
        <f t="shared" si="9"/>
        <v>2.2408963585434174</v>
      </c>
      <c r="W60" s="137">
        <f t="shared" si="10"/>
        <v>1.1970833333333335</v>
      </c>
      <c r="X60" s="34"/>
    </row>
    <row r="61" spans="2:24" ht="15.95" customHeight="1" x14ac:dyDescent="0.15">
      <c r="B61" s="226"/>
      <c r="C61" s="121" t="s">
        <v>124</v>
      </c>
      <c r="D61" s="122">
        <v>30</v>
      </c>
      <c r="E61" s="36"/>
      <c r="F61" s="36"/>
      <c r="G61" s="36"/>
      <c r="H61" s="36"/>
      <c r="I61" s="36"/>
      <c r="J61" s="127"/>
      <c r="L61" s="126"/>
      <c r="M61" s="136">
        <f t="shared" si="7"/>
        <v>2.3090706003884978</v>
      </c>
      <c r="N61" s="136">
        <f t="shared" si="0"/>
        <v>399.01714285714291</v>
      </c>
      <c r="O61" s="136">
        <f t="shared" si="1"/>
        <v>354.53795918367348</v>
      </c>
      <c r="P61" s="136">
        <f t="shared" si="2"/>
        <v>9.576666666666668</v>
      </c>
      <c r="Q61" s="136">
        <f t="shared" si="3"/>
        <v>3.4476</v>
      </c>
      <c r="R61" s="136">
        <f t="shared" si="4"/>
        <v>17.927170868347339</v>
      </c>
      <c r="S61" s="136">
        <f t="shared" si="5"/>
        <v>5.9757236227824464</v>
      </c>
      <c r="T61" s="136">
        <f t="shared" si="8"/>
        <v>7.9114747306027082</v>
      </c>
      <c r="U61" s="136">
        <f t="shared" si="6"/>
        <v>5.8297959183673482</v>
      </c>
      <c r="V61" s="137">
        <f t="shared" si="9"/>
        <v>2.6890756302521011</v>
      </c>
      <c r="W61" s="137">
        <f t="shared" si="10"/>
        <v>1.4365000000000001</v>
      </c>
      <c r="X61" s="34"/>
    </row>
    <row r="62" spans="2:24" ht="15.95" customHeight="1" x14ac:dyDescent="0.15">
      <c r="B62" s="226"/>
      <c r="C62" s="121" t="s">
        <v>125</v>
      </c>
      <c r="D62" s="122">
        <v>20</v>
      </c>
      <c r="E62" s="36"/>
      <c r="F62" s="36"/>
      <c r="G62" s="36"/>
      <c r="H62" s="36"/>
      <c r="I62" s="36"/>
      <c r="J62" s="127"/>
      <c r="L62" s="126"/>
      <c r="M62" s="136">
        <f t="shared" si="7"/>
        <v>2.6939157004532475</v>
      </c>
      <c r="N62" s="136">
        <f t="shared" si="0"/>
        <v>396.91193877551024</v>
      </c>
      <c r="O62" s="136">
        <f t="shared" si="1"/>
        <v>346.11714285714288</v>
      </c>
      <c r="P62" s="136">
        <f t="shared" si="2"/>
        <v>9.576666666666668</v>
      </c>
      <c r="Q62" s="136">
        <f t="shared" si="3"/>
        <v>3.4476</v>
      </c>
      <c r="R62" s="136">
        <f t="shared" si="4"/>
        <v>17.927170868347339</v>
      </c>
      <c r="S62" s="136">
        <f t="shared" si="5"/>
        <v>5.9757236227824464</v>
      </c>
      <c r="T62" s="136">
        <f t="shared" si="8"/>
        <v>9.2300538523698261</v>
      </c>
      <c r="U62" s="136">
        <f t="shared" si="6"/>
        <v>7.9350000000000014</v>
      </c>
      <c r="V62" s="137">
        <f t="shared" si="9"/>
        <v>3.1372549019607847</v>
      </c>
      <c r="W62" s="137">
        <f t="shared" si="10"/>
        <v>1.6759166666666667</v>
      </c>
      <c r="X62" s="34"/>
    </row>
    <row r="63" spans="2:24" ht="15.95" customHeight="1" x14ac:dyDescent="0.15">
      <c r="B63" s="226"/>
      <c r="C63" s="121" t="s">
        <v>126</v>
      </c>
      <c r="D63" s="122">
        <v>0</v>
      </c>
      <c r="E63" s="36"/>
      <c r="F63" s="36"/>
      <c r="G63" s="36"/>
      <c r="H63" s="36"/>
      <c r="I63" s="36"/>
      <c r="J63" s="127"/>
      <c r="L63" s="126"/>
      <c r="M63" s="136">
        <f t="shared" si="7"/>
        <v>3.0787608005179972</v>
      </c>
      <c r="N63" s="136">
        <f t="shared" si="0"/>
        <v>394.4828571428572</v>
      </c>
      <c r="O63" s="136">
        <f t="shared" si="1"/>
        <v>336.40081632653062</v>
      </c>
      <c r="P63" s="136">
        <f t="shared" si="2"/>
        <v>9.576666666666668</v>
      </c>
      <c r="Q63" s="136">
        <f t="shared" si="3"/>
        <v>3.4476</v>
      </c>
      <c r="R63" s="136">
        <f t="shared" si="4"/>
        <v>17.927170868347339</v>
      </c>
      <c r="S63" s="136">
        <f t="shared" si="5"/>
        <v>5.9757236227824464</v>
      </c>
      <c r="T63" s="136">
        <f t="shared" si="8"/>
        <v>10.548632974136945</v>
      </c>
      <c r="U63" s="136">
        <f t="shared" si="6"/>
        <v>10.364081632653065</v>
      </c>
      <c r="V63" s="137">
        <f t="shared" si="9"/>
        <v>3.5854341736694684</v>
      </c>
      <c r="W63" s="137">
        <f t="shared" si="10"/>
        <v>1.9153333333333333</v>
      </c>
      <c r="X63" s="34"/>
    </row>
    <row r="64" spans="2:24" ht="15.95" customHeight="1" x14ac:dyDescent="0.15">
      <c r="B64" s="226"/>
      <c r="C64" s="121" t="s">
        <v>127</v>
      </c>
      <c r="D64" s="122">
        <v>0</v>
      </c>
      <c r="E64" s="36"/>
      <c r="F64" s="36"/>
      <c r="G64" s="36"/>
      <c r="H64" s="36"/>
      <c r="I64" s="36"/>
      <c r="J64" s="127"/>
      <c r="L64" s="126"/>
      <c r="M64" s="136">
        <f t="shared" si="7"/>
        <v>3.4636059005827469</v>
      </c>
      <c r="N64" s="136">
        <f t="shared" si="0"/>
        <v>391.72989795918369</v>
      </c>
      <c r="O64" s="136">
        <f t="shared" si="1"/>
        <v>325.38897959183674</v>
      </c>
      <c r="P64" s="136">
        <f t="shared" si="2"/>
        <v>9.576666666666668</v>
      </c>
      <c r="Q64" s="136">
        <f t="shared" si="3"/>
        <v>3.4476</v>
      </c>
      <c r="R64" s="136">
        <f t="shared" si="4"/>
        <v>17.927170868347339</v>
      </c>
      <c r="S64" s="136">
        <f t="shared" si="5"/>
        <v>5.9757236227824464</v>
      </c>
      <c r="T64" s="136">
        <f t="shared" si="8"/>
        <v>11.867212095904064</v>
      </c>
      <c r="U64" s="136">
        <f t="shared" si="6"/>
        <v>13.117040816326536</v>
      </c>
      <c r="V64" s="137">
        <f t="shared" si="9"/>
        <v>4.033613445378152</v>
      </c>
      <c r="W64" s="137">
        <f t="shared" si="10"/>
        <v>2.1547499999999999</v>
      </c>
      <c r="X64" s="34"/>
    </row>
    <row r="65" spans="2:24" ht="15.95" customHeight="1" x14ac:dyDescent="0.15">
      <c r="B65" s="226"/>
      <c r="C65" s="121" t="s">
        <v>128</v>
      </c>
      <c r="D65" s="122">
        <v>0</v>
      </c>
      <c r="E65" s="36"/>
      <c r="F65" s="36"/>
      <c r="G65" s="36"/>
      <c r="H65" s="36"/>
      <c r="I65" s="36"/>
      <c r="J65" s="127"/>
      <c r="L65" s="126"/>
      <c r="M65" s="136">
        <f t="shared" si="7"/>
        <v>3.8484510006474966</v>
      </c>
      <c r="N65" s="136">
        <f t="shared" si="0"/>
        <v>388.65306122448982</v>
      </c>
      <c r="O65" s="136">
        <f t="shared" si="1"/>
        <v>313.08163265306121</v>
      </c>
      <c r="P65" s="136">
        <f t="shared" si="2"/>
        <v>9.576666666666668</v>
      </c>
      <c r="Q65" s="136">
        <f t="shared" si="3"/>
        <v>3.4476</v>
      </c>
      <c r="R65" s="136">
        <f t="shared" si="4"/>
        <v>17.927170868347339</v>
      </c>
      <c r="S65" s="136">
        <f t="shared" si="5"/>
        <v>5.9757236227824464</v>
      </c>
      <c r="T65" s="136">
        <f t="shared" si="8"/>
        <v>13.185791217671182</v>
      </c>
      <c r="U65" s="136">
        <f t="shared" si="6"/>
        <v>16.193877551020414</v>
      </c>
      <c r="V65" s="137">
        <f t="shared" si="9"/>
        <v>4.4817927170868357</v>
      </c>
      <c r="W65" s="137">
        <f t="shared" si="10"/>
        <v>2.3941666666666666</v>
      </c>
      <c r="X65" s="34"/>
    </row>
    <row r="66" spans="2:24" ht="24.95" customHeight="1" x14ac:dyDescent="0.15">
      <c r="B66" s="226"/>
      <c r="C66" s="121" t="s">
        <v>129</v>
      </c>
      <c r="D66" s="140">
        <f>D59+D60+(D61+D62+D63+D64+D65)/2</f>
        <v>305</v>
      </c>
      <c r="E66" s="36"/>
      <c r="F66" s="36"/>
      <c r="G66" s="36"/>
      <c r="H66" s="36"/>
      <c r="I66" s="36"/>
      <c r="J66" s="127"/>
      <c r="L66" s="126"/>
      <c r="M66" s="136">
        <f t="shared" si="7"/>
        <v>4.2332961007122458</v>
      </c>
      <c r="N66" s="136">
        <f t="shared" si="0"/>
        <v>385.25234693877553</v>
      </c>
      <c r="O66" s="136">
        <f t="shared" si="1"/>
        <v>299.47877551020412</v>
      </c>
      <c r="P66" s="136">
        <f t="shared" si="2"/>
        <v>9.576666666666668</v>
      </c>
      <c r="Q66" s="136">
        <f t="shared" si="3"/>
        <v>3.4476</v>
      </c>
      <c r="R66" s="136">
        <f t="shared" si="4"/>
        <v>17.927170868347339</v>
      </c>
      <c r="S66" s="136">
        <f t="shared" si="5"/>
        <v>5.9757236227824464</v>
      </c>
      <c r="T66" s="136">
        <f t="shared" si="8"/>
        <v>14.504370339438301</v>
      </c>
      <c r="U66" s="136">
        <f t="shared" si="6"/>
        <v>19.594591836734704</v>
      </c>
      <c r="V66" s="137">
        <f t="shared" si="9"/>
        <v>4.9299719887955193</v>
      </c>
      <c r="W66" s="137">
        <f t="shared" si="10"/>
        <v>2.6335833333333332</v>
      </c>
      <c r="X66" s="34"/>
    </row>
    <row r="67" spans="2:24" ht="24.95" customHeight="1" x14ac:dyDescent="0.15">
      <c r="B67" s="226" t="s">
        <v>130</v>
      </c>
      <c r="C67" s="141" t="s">
        <v>131</v>
      </c>
      <c r="D67" s="142">
        <f>设定冲头面积/压射活塞面积*所需增压比压</f>
        <v>29.640831758034025</v>
      </c>
      <c r="E67" s="36" t="s">
        <v>10</v>
      </c>
      <c r="F67" s="36"/>
      <c r="G67" s="36"/>
      <c r="H67" s="36"/>
      <c r="I67" s="36"/>
      <c r="J67" s="127"/>
      <c r="L67" s="126"/>
      <c r="M67" s="136">
        <f t="shared" si="7"/>
        <v>4.6181412007769955</v>
      </c>
      <c r="N67" s="136">
        <f t="shared" si="0"/>
        <v>381.52775510204083</v>
      </c>
      <c r="O67" s="136">
        <f t="shared" si="1"/>
        <v>284.58040816326536</v>
      </c>
      <c r="P67" s="136">
        <f t="shared" si="2"/>
        <v>9.576666666666668</v>
      </c>
      <c r="Q67" s="136">
        <f t="shared" si="3"/>
        <v>3.4476</v>
      </c>
      <c r="R67" s="136">
        <f t="shared" si="4"/>
        <v>17.927170868347339</v>
      </c>
      <c r="S67" s="136">
        <f t="shared" si="5"/>
        <v>5.9757236227824464</v>
      </c>
      <c r="T67" s="136">
        <f t="shared" si="8"/>
        <v>15.82294946120542</v>
      </c>
      <c r="U67" s="136">
        <f t="shared" si="6"/>
        <v>23.319183673469404</v>
      </c>
      <c r="V67" s="137">
        <f t="shared" si="9"/>
        <v>5.378151260504203</v>
      </c>
      <c r="W67" s="137">
        <f t="shared" si="10"/>
        <v>2.8729999999999998</v>
      </c>
      <c r="X67" s="34"/>
    </row>
    <row r="68" spans="2:24" ht="24.95" customHeight="1" x14ac:dyDescent="0.15">
      <c r="B68" s="227"/>
      <c r="C68" s="143" t="s">
        <v>132</v>
      </c>
      <c r="D68" s="144">
        <f>D66*所需增压比压*1.25/100</f>
        <v>305</v>
      </c>
      <c r="E68" s="36"/>
      <c r="F68" s="36"/>
      <c r="G68" s="36"/>
      <c r="H68" s="36"/>
      <c r="I68" s="36"/>
      <c r="J68" s="127"/>
      <c r="L68" s="126"/>
      <c r="M68" s="136">
        <f t="shared" si="7"/>
        <v>5.0029863008417452</v>
      </c>
      <c r="N68" s="136">
        <f t="shared" si="0"/>
        <v>377.47928571428577</v>
      </c>
      <c r="O68" s="136">
        <f t="shared" si="1"/>
        <v>268.38653061224494</v>
      </c>
      <c r="P68" s="136">
        <f t="shared" si="2"/>
        <v>9.576666666666668</v>
      </c>
      <c r="Q68" s="136">
        <f t="shared" si="3"/>
        <v>3.4476</v>
      </c>
      <c r="R68" s="136">
        <f t="shared" si="4"/>
        <v>17.927170868347339</v>
      </c>
      <c r="S68" s="136">
        <f t="shared" si="5"/>
        <v>5.9757236227824464</v>
      </c>
      <c r="T68" s="136">
        <f t="shared" si="8"/>
        <v>17.141528582972537</v>
      </c>
      <c r="U68" s="136">
        <f t="shared" si="6"/>
        <v>27.367653061224502</v>
      </c>
      <c r="V68" s="137">
        <f t="shared" si="9"/>
        <v>5.8263305322128867</v>
      </c>
      <c r="W68" s="137">
        <f t="shared" si="10"/>
        <v>3.1124166666666664</v>
      </c>
      <c r="X68" s="34"/>
    </row>
    <row r="69" spans="2:24" ht="24.95" customHeight="1" x14ac:dyDescent="0.15">
      <c r="B69" s="145" t="s">
        <v>133</v>
      </c>
      <c r="C69" s="146"/>
      <c r="D69" s="147"/>
      <c r="E69" s="36"/>
      <c r="F69" s="36"/>
      <c r="G69" s="36"/>
      <c r="H69" s="36"/>
      <c r="I69" s="36"/>
      <c r="J69" s="127"/>
      <c r="L69" s="126"/>
      <c r="M69" s="136">
        <f t="shared" si="7"/>
        <v>5.3878314009064949</v>
      </c>
      <c r="N69" s="136">
        <f t="shared" si="0"/>
        <v>373.10693877551023</v>
      </c>
      <c r="O69" s="136">
        <f t="shared" si="1"/>
        <v>250.89714285714285</v>
      </c>
      <c r="P69" s="136">
        <f t="shared" si="2"/>
        <v>9.576666666666668</v>
      </c>
      <c r="Q69" s="136">
        <f t="shared" si="3"/>
        <v>3.4476</v>
      </c>
      <c r="R69" s="136">
        <f t="shared" si="4"/>
        <v>17.927170868347339</v>
      </c>
      <c r="S69" s="136">
        <f t="shared" si="5"/>
        <v>5.9757236227824464</v>
      </c>
      <c r="T69" s="136">
        <f t="shared" si="8"/>
        <v>18.460107704739656</v>
      </c>
      <c r="U69" s="136">
        <f t="shared" si="6"/>
        <v>31.740000000000013</v>
      </c>
      <c r="V69" s="137">
        <f t="shared" si="9"/>
        <v>6.2745098039215703</v>
      </c>
      <c r="W69" s="137">
        <f t="shared" si="10"/>
        <v>3.351833333333333</v>
      </c>
      <c r="X69" s="34"/>
    </row>
    <row r="70" spans="2:24" ht="24.95" customHeight="1" x14ac:dyDescent="0.15">
      <c r="B70" s="40" t="s">
        <v>134</v>
      </c>
      <c r="C70" s="148" t="str">
        <f>IF(OR(浇口面积_有效&lt;(最小期望填充流量/流量系数*POWER(液体密度/2/最大期望充型压力,0.5)),浇口面积_有效&gt;(最大期望填充流量/流量系数*POWER(液体密度/2/最小期望充型压力,0.5))),"YES","NO")</f>
        <v>YES</v>
      </c>
      <c r="D70" s="42" t="s">
        <v>135</v>
      </c>
      <c r="E70" s="36"/>
      <c r="F70" s="36"/>
      <c r="G70" s="36"/>
      <c r="H70" s="36"/>
      <c r="I70" s="36"/>
      <c r="J70" s="127"/>
      <c r="L70" s="126"/>
      <c r="M70" s="136">
        <f t="shared" si="7"/>
        <v>5.7726765009712446</v>
      </c>
      <c r="N70" s="136">
        <f t="shared" si="0"/>
        <v>368.41071428571433</v>
      </c>
      <c r="O70" s="136">
        <f t="shared" si="1"/>
        <v>232.11224489795919</v>
      </c>
      <c r="P70" s="136">
        <f t="shared" si="2"/>
        <v>9.576666666666668</v>
      </c>
      <c r="Q70" s="136">
        <f t="shared" si="3"/>
        <v>3.4476</v>
      </c>
      <c r="R70" s="136">
        <f t="shared" si="4"/>
        <v>17.927170868347339</v>
      </c>
      <c r="S70" s="136">
        <f t="shared" si="5"/>
        <v>5.9757236227824464</v>
      </c>
      <c r="T70" s="136">
        <f t="shared" si="8"/>
        <v>19.778686826506775</v>
      </c>
      <c r="U70" s="136">
        <f t="shared" si="6"/>
        <v>36.43622448979594</v>
      </c>
      <c r="V70" s="137">
        <f t="shared" si="9"/>
        <v>6.722689075630254</v>
      </c>
      <c r="W70" s="137">
        <f t="shared" si="10"/>
        <v>3.5912499999999996</v>
      </c>
      <c r="X70" s="34"/>
    </row>
    <row r="71" spans="2:24" ht="24.95" customHeight="1" x14ac:dyDescent="0.15">
      <c r="B71" s="40" t="s">
        <v>136</v>
      </c>
      <c r="C71" s="110">
        <f>工作点充型压力*工作点充型流量</f>
        <v>72.467627443109066</v>
      </c>
      <c r="D71" s="42" t="s">
        <v>137</v>
      </c>
      <c r="E71" s="36"/>
      <c r="F71" s="36"/>
      <c r="G71" s="36"/>
      <c r="H71" s="36"/>
      <c r="I71" s="36"/>
      <c r="J71" s="127"/>
      <c r="L71" s="126"/>
      <c r="M71" s="136">
        <f t="shared" si="7"/>
        <v>6.1575216010359943</v>
      </c>
      <c r="N71" s="136">
        <f t="shared" si="0"/>
        <v>363.39061224489797</v>
      </c>
      <c r="O71" s="136">
        <f t="shared" si="1"/>
        <v>212.03183673469391</v>
      </c>
      <c r="P71" s="136">
        <f t="shared" si="2"/>
        <v>9.576666666666668</v>
      </c>
      <c r="Q71" s="136">
        <f t="shared" si="3"/>
        <v>3.4476</v>
      </c>
      <c r="R71" s="136">
        <f t="shared" si="4"/>
        <v>17.927170868347339</v>
      </c>
      <c r="S71" s="136">
        <f t="shared" si="5"/>
        <v>5.9757236227824464</v>
      </c>
      <c r="T71" s="136">
        <f t="shared" si="8"/>
        <v>21.097265948273893</v>
      </c>
      <c r="U71" s="136">
        <f t="shared" si="6"/>
        <v>41.456326530612266</v>
      </c>
      <c r="V71" s="137">
        <f t="shared" si="9"/>
        <v>7.1708683473389376</v>
      </c>
      <c r="W71" s="137">
        <f t="shared" si="10"/>
        <v>3.8306666666666662</v>
      </c>
      <c r="X71" s="34"/>
    </row>
    <row r="72" spans="2:24" ht="24.95" customHeight="1" x14ac:dyDescent="0.15">
      <c r="B72" s="40" t="s">
        <v>138</v>
      </c>
      <c r="C72" s="110">
        <f>0.385*设定最大充型压力*设定空压射充型流量</f>
        <v>1352.174446180509</v>
      </c>
      <c r="D72" s="42" t="s">
        <v>137</v>
      </c>
      <c r="E72" s="36"/>
      <c r="F72" s="36"/>
      <c r="G72" s="36"/>
      <c r="H72" s="36"/>
      <c r="I72" s="36"/>
      <c r="J72" s="127"/>
      <c r="L72" s="126"/>
      <c r="M72" s="136">
        <f t="shared" si="7"/>
        <v>6.542366701100744</v>
      </c>
      <c r="N72" s="136">
        <f t="shared" si="0"/>
        <v>358.04663265306124</v>
      </c>
      <c r="O72" s="136">
        <f t="shared" si="1"/>
        <v>190.65591836734691</v>
      </c>
      <c r="P72" s="136">
        <f t="shared" si="2"/>
        <v>9.576666666666668</v>
      </c>
      <c r="Q72" s="136">
        <f t="shared" si="3"/>
        <v>3.4476</v>
      </c>
      <c r="R72" s="136">
        <f t="shared" si="4"/>
        <v>17.927170868347339</v>
      </c>
      <c r="S72" s="136">
        <f t="shared" si="5"/>
        <v>5.9757236227824464</v>
      </c>
      <c r="T72" s="136">
        <f t="shared" si="8"/>
        <v>22.415845070041012</v>
      </c>
      <c r="U72" s="136">
        <f t="shared" si="6"/>
        <v>46.800306122449001</v>
      </c>
      <c r="V72" s="137">
        <f t="shared" si="9"/>
        <v>7.6190476190476213</v>
      </c>
      <c r="W72" s="137">
        <f t="shared" si="10"/>
        <v>4.0700833333333328</v>
      </c>
      <c r="X72" s="34"/>
    </row>
    <row r="73" spans="2:24" ht="24.95" customHeight="1" x14ac:dyDescent="0.15">
      <c r="B73" s="40" t="s">
        <v>139</v>
      </c>
      <c r="C73" s="110">
        <f>压射功率/最大功率*100</f>
        <v>5.3593401093925843</v>
      </c>
      <c r="D73" s="42" t="s">
        <v>75</v>
      </c>
      <c r="E73" s="3"/>
      <c r="F73" s="3"/>
      <c r="G73" s="3"/>
      <c r="H73" s="149"/>
      <c r="I73" s="3"/>
      <c r="J73" s="177"/>
      <c r="L73" s="126"/>
      <c r="M73" s="136">
        <f t="shared" si="7"/>
        <v>6.9272118011654937</v>
      </c>
      <c r="N73" s="136">
        <f t="shared" si="0"/>
        <v>352.37877551020409</v>
      </c>
      <c r="O73" s="136">
        <f t="shared" si="1"/>
        <v>167.98448979591836</v>
      </c>
      <c r="P73" s="136">
        <f t="shared" si="2"/>
        <v>9.576666666666668</v>
      </c>
      <c r="Q73" s="136">
        <f t="shared" si="3"/>
        <v>3.4476</v>
      </c>
      <c r="R73" s="136">
        <f t="shared" si="4"/>
        <v>17.927170868347339</v>
      </c>
      <c r="S73" s="136">
        <f t="shared" si="5"/>
        <v>5.9757236227824464</v>
      </c>
      <c r="T73" s="136">
        <f t="shared" si="8"/>
        <v>23.734424191808131</v>
      </c>
      <c r="U73" s="136">
        <f t="shared" si="6"/>
        <v>52.468163265306167</v>
      </c>
      <c r="V73" s="137">
        <f t="shared" si="9"/>
        <v>8.0672268907563041</v>
      </c>
      <c r="W73" s="137">
        <f t="shared" si="10"/>
        <v>4.3094999999999999</v>
      </c>
      <c r="X73" s="34"/>
    </row>
    <row r="74" spans="2:24" ht="24.95" customHeight="1" x14ac:dyDescent="0.15">
      <c r="B74" s="40" t="s">
        <v>140</v>
      </c>
      <c r="C74" s="97">
        <f>所需增压比压</f>
        <v>80</v>
      </c>
      <c r="D74" s="42" t="s">
        <v>60</v>
      </c>
      <c r="E74" s="150"/>
      <c r="F74" s="150"/>
      <c r="G74" s="150"/>
      <c r="H74" s="150"/>
      <c r="I74" s="150"/>
      <c r="J74" s="178"/>
      <c r="L74" s="126"/>
      <c r="M74" s="136">
        <f t="shared" si="7"/>
        <v>7.3120569012302434</v>
      </c>
      <c r="N74" s="136">
        <f t="shared" si="0"/>
        <v>346.38704081632659</v>
      </c>
      <c r="O74" s="136">
        <f t="shared" si="1"/>
        <v>144.01755102040815</v>
      </c>
      <c r="P74" s="136">
        <f t="shared" si="2"/>
        <v>9.576666666666668</v>
      </c>
      <c r="Q74" s="136">
        <f t="shared" si="3"/>
        <v>3.4476</v>
      </c>
      <c r="R74" s="136">
        <f t="shared" si="4"/>
        <v>17.927170868347339</v>
      </c>
      <c r="S74" s="136">
        <f t="shared" si="5"/>
        <v>5.9757236227824464</v>
      </c>
      <c r="T74" s="136">
        <f t="shared" si="8"/>
        <v>25.05300331357525</v>
      </c>
      <c r="U74" s="136">
        <f t="shared" si="6"/>
        <v>58.459897959183706</v>
      </c>
      <c r="V74" s="137">
        <f t="shared" si="9"/>
        <v>8.5154061624649877</v>
      </c>
      <c r="W74" s="137">
        <f t="shared" si="10"/>
        <v>4.5489166666666669</v>
      </c>
      <c r="X74" s="34"/>
    </row>
    <row r="75" spans="2:24" ht="24.95" customHeight="1" x14ac:dyDescent="0.15">
      <c r="B75" s="48" t="s">
        <v>141</v>
      </c>
      <c r="C75" s="151">
        <f>压射活塞面积*名义最大充型压力/设定冲头面积</f>
        <v>1092.6736255726782</v>
      </c>
      <c r="D75" s="42" t="s">
        <v>30</v>
      </c>
      <c r="E75" s="152"/>
      <c r="F75" s="152"/>
      <c r="G75" s="152"/>
      <c r="H75" s="152"/>
      <c r="I75" s="152"/>
      <c r="J75" s="179"/>
      <c r="L75" s="126"/>
      <c r="M75" s="136">
        <f t="shared" si="7"/>
        <v>7.6969020012949931</v>
      </c>
      <c r="N75" s="136">
        <f t="shared" si="0"/>
        <v>340.07142857142856</v>
      </c>
      <c r="O75" s="136">
        <f t="shared" si="1"/>
        <v>118.75510204081627</v>
      </c>
      <c r="P75" s="136">
        <f t="shared" si="2"/>
        <v>9.576666666666668</v>
      </c>
      <c r="Q75" s="136">
        <f t="shared" si="3"/>
        <v>3.4476</v>
      </c>
      <c r="R75" s="136">
        <f t="shared" si="4"/>
        <v>17.927170868347339</v>
      </c>
      <c r="S75" s="136">
        <f t="shared" si="5"/>
        <v>5.9757236227824464</v>
      </c>
      <c r="T75" s="136">
        <f t="shared" si="8"/>
        <v>26.371582435342368</v>
      </c>
      <c r="U75" s="136">
        <f t="shared" si="6"/>
        <v>64.775510204081684</v>
      </c>
      <c r="V75" s="137">
        <f t="shared" si="9"/>
        <v>8.9635854341736714</v>
      </c>
      <c r="W75" s="137">
        <f t="shared" si="10"/>
        <v>4.788333333333334</v>
      </c>
      <c r="X75" s="34"/>
    </row>
    <row r="76" spans="2:24" x14ac:dyDescent="0.15">
      <c r="B76" s="40" t="s">
        <v>142</v>
      </c>
      <c r="C76" s="153" t="str">
        <f>IF(C74&lt;C75,"YES","NO")</f>
        <v>YES</v>
      </c>
      <c r="D76" s="42" t="s">
        <v>135</v>
      </c>
      <c r="E76" s="154"/>
      <c r="F76" s="107"/>
      <c r="G76" s="107"/>
      <c r="H76" s="107"/>
      <c r="I76" s="107"/>
      <c r="J76" s="107"/>
      <c r="L76" s="126"/>
      <c r="M76" s="136">
        <f t="shared" si="7"/>
        <v>8.0817471013597419</v>
      </c>
      <c r="N76" s="136">
        <f t="shared" si="0"/>
        <v>333.43193877551022</v>
      </c>
      <c r="O76" s="136">
        <f t="shared" si="1"/>
        <v>92.197142857142921</v>
      </c>
      <c r="P76" s="136">
        <f t="shared" si="2"/>
        <v>9.576666666666668</v>
      </c>
      <c r="Q76" s="136">
        <f t="shared" si="3"/>
        <v>3.4476</v>
      </c>
      <c r="R76" s="136">
        <f t="shared" si="4"/>
        <v>17.927170868347339</v>
      </c>
      <c r="S76" s="136">
        <f t="shared" si="5"/>
        <v>5.9757236227824464</v>
      </c>
      <c r="T76" s="136">
        <f t="shared" si="8"/>
        <v>27.690161557109487</v>
      </c>
      <c r="U76" s="136">
        <f t="shared" si="6"/>
        <v>71.415000000000049</v>
      </c>
      <c r="V76" s="137">
        <f t="shared" si="9"/>
        <v>9.411764705882355</v>
      </c>
      <c r="W76" s="137">
        <f t="shared" si="10"/>
        <v>5.0277500000000011</v>
      </c>
      <c r="X76" s="34"/>
    </row>
    <row r="77" spans="2:24" x14ac:dyDescent="0.15">
      <c r="B77" s="40" t="s">
        <v>143</v>
      </c>
      <c r="C77" s="153" t="str">
        <f>IF(工作点充型流量&gt;最小期望填充流量,"YES","NO")</f>
        <v>YES</v>
      </c>
      <c r="D77" s="42" t="s">
        <v>135</v>
      </c>
      <c r="E77" s="154"/>
      <c r="F77" s="107"/>
      <c r="G77" s="107"/>
      <c r="H77" s="107"/>
      <c r="I77" s="107"/>
      <c r="J77" s="107"/>
      <c r="L77" s="126"/>
      <c r="M77" s="136">
        <f t="shared" si="7"/>
        <v>8.4665922014244916</v>
      </c>
      <c r="N77" s="136">
        <f t="shared" si="0"/>
        <v>326.46857142857147</v>
      </c>
      <c r="O77" s="136">
        <f t="shared" si="1"/>
        <v>64.343673469387795</v>
      </c>
      <c r="P77" s="136">
        <f t="shared" si="2"/>
        <v>9.576666666666668</v>
      </c>
      <c r="Q77" s="136">
        <f t="shared" si="3"/>
        <v>3.4476</v>
      </c>
      <c r="R77" s="136">
        <f t="shared" si="4"/>
        <v>17.927170868347339</v>
      </c>
      <c r="S77" s="136">
        <f t="shared" si="5"/>
        <v>5.9757236227824464</v>
      </c>
      <c r="T77" s="136">
        <f t="shared" si="8"/>
        <v>29.008740678876606</v>
      </c>
      <c r="U77" s="136">
        <f t="shared" si="6"/>
        <v>78.37836734693883</v>
      </c>
      <c r="V77" s="137">
        <f t="shared" si="9"/>
        <v>9.8599439775910387</v>
      </c>
      <c r="W77" s="137">
        <f t="shared" si="10"/>
        <v>5.2671666666666681</v>
      </c>
      <c r="X77" s="34"/>
    </row>
    <row r="78" spans="2:24" x14ac:dyDescent="0.15">
      <c r="B78" s="40" t="s">
        <v>144</v>
      </c>
      <c r="C78" s="153" t="str">
        <f>IF(工作点充型压力&gt;最小期望充型压力,"YES","NO")</f>
        <v>YES</v>
      </c>
      <c r="D78" s="42" t="s">
        <v>135</v>
      </c>
      <c r="E78" s="154"/>
      <c r="F78" s="107"/>
      <c r="G78" s="107"/>
      <c r="H78" s="107"/>
      <c r="I78" s="107"/>
      <c r="J78" s="107"/>
      <c r="L78" s="126"/>
      <c r="M78" s="136">
        <f t="shared" si="7"/>
        <v>8.8514373014892413</v>
      </c>
      <c r="N78" s="136">
        <f t="shared" si="0"/>
        <v>319.1813265306123</v>
      </c>
      <c r="O78" s="136">
        <f t="shared" si="1"/>
        <v>35.19469387755106</v>
      </c>
      <c r="P78" s="136">
        <f t="shared" si="2"/>
        <v>9.576666666666668</v>
      </c>
      <c r="Q78" s="136">
        <f t="shared" si="3"/>
        <v>3.4476</v>
      </c>
      <c r="R78" s="136">
        <f t="shared" si="4"/>
        <v>17.927170868347339</v>
      </c>
      <c r="S78" s="136">
        <f t="shared" si="5"/>
        <v>5.9757236227824464</v>
      </c>
      <c r="T78" s="136">
        <f t="shared" si="8"/>
        <v>30.327319800643725</v>
      </c>
      <c r="U78" s="136">
        <f t="shared" si="6"/>
        <v>85.665612244898028</v>
      </c>
      <c r="V78" s="137">
        <f t="shared" si="9"/>
        <v>10.308123249299722</v>
      </c>
      <c r="W78" s="137">
        <f t="shared" si="10"/>
        <v>5.5065833333333352</v>
      </c>
      <c r="X78" s="34"/>
    </row>
    <row r="79" spans="2:24" x14ac:dyDescent="0.15">
      <c r="B79" s="155" t="s">
        <v>145</v>
      </c>
      <c r="C79" s="156" t="str">
        <f>IF(AND(AND(工作点充型速度&gt;最小期望充型速度,工作点充型速度&lt;最大期望充型速度),AND(工作点充型时间&gt;最小期望充型时间,工作点充型时间&lt;最大期望充型时间)),"YES","NO")</f>
        <v>YES</v>
      </c>
      <c r="D79" s="102" t="s">
        <v>135</v>
      </c>
      <c r="E79" s="154"/>
      <c r="F79" s="107"/>
      <c r="G79" s="107"/>
      <c r="H79" s="107"/>
      <c r="I79" s="107"/>
      <c r="J79" s="107"/>
      <c r="L79" s="126"/>
      <c r="M79" s="136">
        <f t="shared" si="7"/>
        <v>9.2362824015539911</v>
      </c>
      <c r="N79" s="136">
        <f t="shared" si="0"/>
        <v>311.57020408163271</v>
      </c>
      <c r="O79" s="136">
        <f t="shared" si="1"/>
        <v>4.7502040816326598</v>
      </c>
      <c r="P79" s="136">
        <f t="shared" si="2"/>
        <v>9.576666666666668</v>
      </c>
      <c r="Q79" s="136">
        <f t="shared" si="3"/>
        <v>3.4476</v>
      </c>
      <c r="R79" s="136">
        <f t="shared" si="4"/>
        <v>17.927170868347339</v>
      </c>
      <c r="S79" s="136">
        <f t="shared" si="5"/>
        <v>5.9757236227824464</v>
      </c>
      <c r="T79" s="136">
        <f t="shared" si="8"/>
        <v>31.645898922410844</v>
      </c>
      <c r="U79" s="136">
        <f t="shared" si="6"/>
        <v>93.276734693877643</v>
      </c>
      <c r="V79" s="137">
        <f t="shared" si="9"/>
        <v>10.756302521008406</v>
      </c>
      <c r="W79" s="137">
        <f t="shared" si="10"/>
        <v>5.7460000000000022</v>
      </c>
      <c r="X79" s="34"/>
    </row>
    <row r="80" spans="2:24" x14ac:dyDescent="0.15">
      <c r="B80" s="157"/>
      <c r="C80" s="158"/>
      <c r="D80" s="158"/>
      <c r="E80" s="159"/>
      <c r="F80" s="159"/>
      <c r="G80" s="159"/>
      <c r="H80" s="159"/>
      <c r="I80" s="201"/>
      <c r="J80" s="202"/>
      <c r="L80" s="180"/>
      <c r="M80" s="136">
        <f t="shared" si="7"/>
        <v>9.6211275016187408</v>
      </c>
      <c r="N80" s="136">
        <f t="shared" si="0"/>
        <v>303.63520408163265</v>
      </c>
      <c r="O80" s="136">
        <f t="shared" si="1"/>
        <v>-26.989795918367349</v>
      </c>
      <c r="P80" s="136">
        <f t="shared" si="2"/>
        <v>9.576666666666668</v>
      </c>
      <c r="Q80" s="136">
        <f t="shared" si="3"/>
        <v>3.4476</v>
      </c>
      <c r="R80" s="136">
        <f t="shared" si="4"/>
        <v>17.927170868347339</v>
      </c>
      <c r="S80" s="136">
        <f t="shared" si="5"/>
        <v>5.9757236227824464</v>
      </c>
      <c r="T80" s="136">
        <f t="shared" si="8"/>
        <v>32.964478044177959</v>
      </c>
      <c r="U80" s="136">
        <f t="shared" si="6"/>
        <v>101.2117346938776</v>
      </c>
      <c r="V80" s="137">
        <f t="shared" si="9"/>
        <v>11.20448179271709</v>
      </c>
      <c r="W80" s="137">
        <f t="shared" si="10"/>
        <v>5.9854166666666693</v>
      </c>
      <c r="X80" s="34"/>
    </row>
    <row r="81" spans="2:24" x14ac:dyDescent="0.15">
      <c r="B81" s="160"/>
      <c r="C81" s="161"/>
      <c r="D81" s="161"/>
      <c r="E81" s="161"/>
      <c r="F81" s="161"/>
      <c r="G81" s="161"/>
      <c r="H81" s="161"/>
      <c r="I81" s="161"/>
      <c r="J81" s="181"/>
      <c r="L81" s="180"/>
      <c r="M81" s="136">
        <f t="shared" si="7"/>
        <v>10.00597260168349</v>
      </c>
      <c r="N81" s="136">
        <f t="shared" si="0"/>
        <v>295.37632653061223</v>
      </c>
      <c r="O81" s="136">
        <f t="shared" si="1"/>
        <v>-60.025306122448967</v>
      </c>
      <c r="P81" s="136">
        <f t="shared" si="2"/>
        <v>9.576666666666668</v>
      </c>
      <c r="Q81" s="136">
        <f t="shared" si="3"/>
        <v>3.4476</v>
      </c>
      <c r="R81" s="136">
        <f t="shared" si="4"/>
        <v>17.927170868347339</v>
      </c>
      <c r="S81" s="136">
        <f t="shared" si="5"/>
        <v>5.9757236227824464</v>
      </c>
      <c r="T81" s="136">
        <f t="shared" si="8"/>
        <v>34.283057165945074</v>
      </c>
      <c r="U81" s="136">
        <f t="shared" si="6"/>
        <v>109.47061224489801</v>
      </c>
      <c r="V81" s="137">
        <f t="shared" si="9"/>
        <v>11.652661064425773</v>
      </c>
      <c r="W81" s="137">
        <f t="shared" si="10"/>
        <v>6.2248333333333363</v>
      </c>
      <c r="X81" s="34"/>
    </row>
    <row r="82" spans="2:24" x14ac:dyDescent="0.15">
      <c r="B82" s="162" t="s">
        <v>146</v>
      </c>
      <c r="C82" s="38"/>
      <c r="D82" s="36" t="s">
        <v>147</v>
      </c>
      <c r="G82" s="163"/>
      <c r="H82" s="158" t="s">
        <v>148</v>
      </c>
      <c r="J82" s="182"/>
      <c r="L82" s="180"/>
      <c r="M82" s="136">
        <f t="shared" si="7"/>
        <v>10.39081770174824</v>
      </c>
      <c r="N82" s="136">
        <f t="shared" si="0"/>
        <v>286.79357142857145</v>
      </c>
      <c r="O82" s="136">
        <f t="shared" si="1"/>
        <v>-94.356326530612307</v>
      </c>
      <c r="P82" s="136">
        <f t="shared" si="2"/>
        <v>9.576666666666668</v>
      </c>
      <c r="Q82" s="136">
        <f t="shared" si="3"/>
        <v>3.4476</v>
      </c>
      <c r="R82" s="136">
        <f t="shared" si="4"/>
        <v>17.927170868347339</v>
      </c>
      <c r="S82" s="136">
        <f t="shared" si="5"/>
        <v>5.9757236227824464</v>
      </c>
      <c r="T82" s="136">
        <f t="shared" si="8"/>
        <v>35.601636287712189</v>
      </c>
      <c r="U82" s="136">
        <f t="shared" si="6"/>
        <v>118.05336734693878</v>
      </c>
      <c r="V82" s="137">
        <f t="shared" si="9"/>
        <v>12.100840336134457</v>
      </c>
      <c r="W82" s="137">
        <f t="shared" si="10"/>
        <v>6.4642500000000034</v>
      </c>
      <c r="X82" s="34"/>
    </row>
    <row r="83" spans="2:24" x14ac:dyDescent="0.15">
      <c r="B83" s="162"/>
      <c r="D83" s="36"/>
      <c r="H83" s="158"/>
      <c r="J83" s="182"/>
      <c r="L83" s="180"/>
      <c r="M83" s="136">
        <f t="shared" si="7"/>
        <v>10.77566280181299</v>
      </c>
      <c r="N83" s="136">
        <f t="shared" si="0"/>
        <v>277.8869387755102</v>
      </c>
      <c r="O83" s="136">
        <f t="shared" si="1"/>
        <v>-129.9828571428572</v>
      </c>
      <c r="P83" s="136">
        <f t="shared" si="2"/>
        <v>9.576666666666668</v>
      </c>
      <c r="Q83" s="136">
        <f t="shared" si="3"/>
        <v>3.4476</v>
      </c>
      <c r="R83" s="136">
        <f t="shared" si="4"/>
        <v>17.927170868347339</v>
      </c>
      <c r="S83" s="136">
        <f t="shared" si="5"/>
        <v>5.9757236227824464</v>
      </c>
      <c r="T83" s="136">
        <f t="shared" si="8"/>
        <v>36.920215409479304</v>
      </c>
      <c r="U83" s="136">
        <f t="shared" si="6"/>
        <v>126.96000000000002</v>
      </c>
      <c r="V83" s="137">
        <f t="shared" si="9"/>
        <v>12.549019607843141</v>
      </c>
      <c r="W83" s="137">
        <f t="shared" si="10"/>
        <v>6.7036666666666704</v>
      </c>
      <c r="X83" s="34"/>
    </row>
    <row r="84" spans="2:24" x14ac:dyDescent="0.15">
      <c r="B84" s="162"/>
      <c r="C84" s="164"/>
      <c r="D84" s="36" t="s">
        <v>149</v>
      </c>
      <c r="J84" s="182"/>
      <c r="L84" s="180"/>
      <c r="M84" s="136">
        <f t="shared" si="7"/>
        <v>11.16050790187774</v>
      </c>
      <c r="N84" s="136">
        <f t="shared" si="0"/>
        <v>268.65642857142859</v>
      </c>
      <c r="O84" s="136">
        <f t="shared" si="1"/>
        <v>-166.9048979591837</v>
      </c>
      <c r="P84" s="136">
        <f t="shared" si="2"/>
        <v>9.576666666666668</v>
      </c>
      <c r="Q84" s="136">
        <f t="shared" si="3"/>
        <v>3.4476</v>
      </c>
      <c r="R84" s="136">
        <f t="shared" si="4"/>
        <v>17.927170868347339</v>
      </c>
      <c r="S84" s="136">
        <f t="shared" si="5"/>
        <v>5.9757236227824464</v>
      </c>
      <c r="T84" s="136">
        <f t="shared" si="8"/>
        <v>38.23879453124642</v>
      </c>
      <c r="U84" s="136">
        <f t="shared" si="6"/>
        <v>136.19051020408159</v>
      </c>
      <c r="V84" s="137">
        <f t="shared" si="9"/>
        <v>12.997198879551824</v>
      </c>
      <c r="W84" s="137">
        <f t="shared" si="10"/>
        <v>6.9430833333333375</v>
      </c>
      <c r="X84" s="34"/>
    </row>
    <row r="85" spans="2:24" x14ac:dyDescent="0.15">
      <c r="B85" s="165"/>
      <c r="C85" s="166"/>
      <c r="D85" s="166"/>
      <c r="E85" s="166"/>
      <c r="F85" s="166"/>
      <c r="G85" s="166"/>
      <c r="H85" s="203"/>
      <c r="I85" s="204"/>
      <c r="J85" s="205"/>
      <c r="M85" s="136">
        <f t="shared" si="7"/>
        <v>11.545353001942489</v>
      </c>
      <c r="N85" s="136">
        <f t="shared" si="0"/>
        <v>259.10204081632651</v>
      </c>
      <c r="O85" s="136">
        <f t="shared" si="1"/>
        <v>-205.12244897959192</v>
      </c>
      <c r="P85" s="136">
        <f t="shared" si="2"/>
        <v>9.576666666666668</v>
      </c>
      <c r="Q85" s="136">
        <f t="shared" si="3"/>
        <v>3.4476</v>
      </c>
      <c r="R85" s="136">
        <f t="shared" si="4"/>
        <v>17.927170868347339</v>
      </c>
      <c r="S85" s="136">
        <f t="shared" si="5"/>
        <v>5.9757236227824464</v>
      </c>
      <c r="T85" s="136">
        <f t="shared" si="8"/>
        <v>39.557373653013535</v>
      </c>
      <c r="U85" s="136">
        <f t="shared" si="6"/>
        <v>145.74489795918365</v>
      </c>
      <c r="V85" s="137">
        <f t="shared" si="9"/>
        <v>13.445378151260508</v>
      </c>
      <c r="W85" s="137">
        <f t="shared" si="10"/>
        <v>7.1825000000000045</v>
      </c>
      <c r="X85" s="34"/>
    </row>
    <row r="86" spans="2:24" x14ac:dyDescent="0.15">
      <c r="M86" s="136">
        <f t="shared" si="7"/>
        <v>11.930198102007239</v>
      </c>
      <c r="N86" s="136">
        <f t="shared" si="0"/>
        <v>249.22377551020409</v>
      </c>
      <c r="O86" s="136">
        <f t="shared" si="1"/>
        <v>-244.6355102040817</v>
      </c>
      <c r="P86" s="136">
        <f t="shared" si="2"/>
        <v>9.576666666666668</v>
      </c>
      <c r="Q86" s="136">
        <f t="shared" si="3"/>
        <v>3.4476</v>
      </c>
      <c r="R86" s="136">
        <f t="shared" si="4"/>
        <v>17.927170868347339</v>
      </c>
      <c r="S86" s="136">
        <f t="shared" si="5"/>
        <v>5.9757236227824464</v>
      </c>
      <c r="T86" s="136">
        <f t="shared" si="8"/>
        <v>40.87595277478065</v>
      </c>
      <c r="U86" s="136">
        <f t="shared" si="6"/>
        <v>155.62316326530609</v>
      </c>
      <c r="V86" s="137">
        <f t="shared" si="9"/>
        <v>13.893557422969192</v>
      </c>
      <c r="W86" s="137">
        <f t="shared" si="10"/>
        <v>7.4219166666666716</v>
      </c>
      <c r="X86" s="34"/>
    </row>
    <row r="87" spans="2:24" x14ac:dyDescent="0.15">
      <c r="M87" s="136">
        <f t="shared" si="7"/>
        <v>12.315043202071989</v>
      </c>
      <c r="N87" s="136">
        <f t="shared" ref="N87:N105" si="11">(-名义最大充型压力*POWER(M87,2)/POWER(名义最大充型流量,2)+名义最大充型压力)</f>
        <v>239.02163265306126</v>
      </c>
      <c r="O87" s="136">
        <f t="shared" ref="O87:O105" si="12">(-设定最大充型压力*POWER(M87,2)/POWER(设定空压射充型流量,2)+设定最大充型压力)</f>
        <v>-285.44408163265302</v>
      </c>
      <c r="P87" s="136">
        <f t="shared" ref="P87:P105" si="13">最大期望充型压力</f>
        <v>9.576666666666668</v>
      </c>
      <c r="Q87" s="136">
        <f t="shared" ref="Q87:Q105" si="14">最小期望充型压力</f>
        <v>3.4476</v>
      </c>
      <c r="R87" s="136">
        <f t="shared" ref="R87:R105" si="15">最大期望填充流量</f>
        <v>17.927170868347339</v>
      </c>
      <c r="S87" s="136">
        <f t="shared" ref="S87:S105" si="16">最小期望填充流量</f>
        <v>5.9757236227824464</v>
      </c>
      <c r="T87" s="136">
        <f t="shared" si="8"/>
        <v>42.194531896547765</v>
      </c>
      <c r="U87" s="136">
        <f t="shared" ref="U87:U105" si="17">POWER((T87/流量系数/浇口面积_实际),2)*液体密度/2*1000</f>
        <v>165.82530612244892</v>
      </c>
      <c r="V87" s="137">
        <f t="shared" si="9"/>
        <v>14.341736694677875</v>
      </c>
      <c r="W87" s="137">
        <f t="shared" si="10"/>
        <v>7.6613333333333387</v>
      </c>
      <c r="X87" s="34"/>
    </row>
    <row r="88" spans="2:24" x14ac:dyDescent="0.15">
      <c r="M88" s="136">
        <f t="shared" ref="M88:M105" si="18">M87+MAX(名义最大充型流量,设定空压射充型流量)/50</f>
        <v>12.699888302136738</v>
      </c>
      <c r="N88" s="136">
        <f t="shared" si="11"/>
        <v>228.49561224489796</v>
      </c>
      <c r="O88" s="136">
        <f t="shared" si="12"/>
        <v>-327.54816326530624</v>
      </c>
      <c r="P88" s="136">
        <f t="shared" si="13"/>
        <v>9.576666666666668</v>
      </c>
      <c r="Q88" s="136">
        <f t="shared" si="14"/>
        <v>3.4476</v>
      </c>
      <c r="R88" s="136">
        <f t="shared" si="15"/>
        <v>17.927170868347339</v>
      </c>
      <c r="S88" s="136">
        <f t="shared" si="16"/>
        <v>5.9757236227824464</v>
      </c>
      <c r="T88" s="136">
        <f t="shared" ref="T88:T105" si="19">T87+POWER(2*MAX(名义最大充型压力,设定最大充型压力)*POWER(流量系数*浇口面积_有效,2)/1000/液体密度,0.5)/50</f>
        <v>43.513111018314881</v>
      </c>
      <c r="U88" s="136">
        <f t="shared" si="17"/>
        <v>176.35132653061217</v>
      </c>
      <c r="V88" s="137">
        <f t="shared" ref="V88:V105" si="20">V87+最大期望填充流量/40</f>
        <v>14.789915966386559</v>
      </c>
      <c r="W88" s="137">
        <f t="shared" ref="W88:W105" si="21">W87+最大期望充型压力/40</f>
        <v>7.9007500000000057</v>
      </c>
      <c r="X88" s="34"/>
    </row>
    <row r="89" spans="2:24" x14ac:dyDescent="0.15">
      <c r="M89" s="136">
        <f t="shared" si="18"/>
        <v>13.084733402201488</v>
      </c>
      <c r="N89" s="136">
        <f t="shared" si="11"/>
        <v>217.64571428571429</v>
      </c>
      <c r="O89" s="136">
        <f t="shared" si="12"/>
        <v>-370.94775510204101</v>
      </c>
      <c r="P89" s="136">
        <f t="shared" si="13"/>
        <v>9.576666666666668</v>
      </c>
      <c r="Q89" s="136">
        <f t="shared" si="14"/>
        <v>3.4476</v>
      </c>
      <c r="R89" s="136">
        <f t="shared" si="15"/>
        <v>17.927170868347339</v>
      </c>
      <c r="S89" s="136">
        <f t="shared" si="16"/>
        <v>5.9757236227824464</v>
      </c>
      <c r="T89" s="136">
        <f t="shared" si="19"/>
        <v>44.831690140081996</v>
      </c>
      <c r="U89" s="136">
        <f t="shared" si="17"/>
        <v>187.20122448979578</v>
      </c>
      <c r="V89" s="137">
        <f t="shared" si="20"/>
        <v>15.238095238095243</v>
      </c>
      <c r="W89" s="137">
        <f t="shared" si="21"/>
        <v>8.1401666666666728</v>
      </c>
      <c r="X89" s="34"/>
    </row>
    <row r="90" spans="2:24" x14ac:dyDescent="0.15">
      <c r="M90" s="136">
        <f t="shared" si="18"/>
        <v>13.469578502266238</v>
      </c>
      <c r="N90" s="136">
        <f t="shared" si="11"/>
        <v>206.47193877551018</v>
      </c>
      <c r="O90" s="136">
        <f t="shared" si="12"/>
        <v>-415.64285714285745</v>
      </c>
      <c r="P90" s="136">
        <f t="shared" si="13"/>
        <v>9.576666666666668</v>
      </c>
      <c r="Q90" s="136">
        <f t="shared" si="14"/>
        <v>3.4476</v>
      </c>
      <c r="R90" s="136">
        <f t="shared" si="15"/>
        <v>17.927170868347339</v>
      </c>
      <c r="S90" s="136">
        <f t="shared" si="16"/>
        <v>5.9757236227824464</v>
      </c>
      <c r="T90" s="136">
        <f t="shared" si="19"/>
        <v>46.150269261849111</v>
      </c>
      <c r="U90" s="136">
        <f t="shared" si="17"/>
        <v>198.37499999999983</v>
      </c>
      <c r="V90" s="137">
        <f t="shared" si="20"/>
        <v>15.686274509803926</v>
      </c>
      <c r="W90" s="137">
        <f t="shared" si="21"/>
        <v>8.3795833333333398</v>
      </c>
      <c r="X90" s="34"/>
    </row>
    <row r="91" spans="2:24" x14ac:dyDescent="0.15">
      <c r="M91" s="136">
        <f t="shared" si="18"/>
        <v>13.854423602330987</v>
      </c>
      <c r="N91" s="136">
        <f t="shared" si="11"/>
        <v>194.97428571428568</v>
      </c>
      <c r="O91" s="136">
        <f t="shared" si="12"/>
        <v>-461.63346938775521</v>
      </c>
      <c r="P91" s="136">
        <f t="shared" si="13"/>
        <v>9.576666666666668</v>
      </c>
      <c r="Q91" s="136">
        <f t="shared" si="14"/>
        <v>3.4476</v>
      </c>
      <c r="R91" s="136">
        <f t="shared" si="15"/>
        <v>17.927170868347339</v>
      </c>
      <c r="S91" s="136">
        <f t="shared" si="16"/>
        <v>5.9757236227824464</v>
      </c>
      <c r="T91" s="136">
        <f t="shared" si="19"/>
        <v>47.468848383616226</v>
      </c>
      <c r="U91" s="136">
        <f t="shared" si="17"/>
        <v>209.8726530612243</v>
      </c>
      <c r="V91" s="137">
        <f t="shared" si="20"/>
        <v>16.134453781512608</v>
      </c>
      <c r="W91" s="137">
        <f t="shared" si="21"/>
        <v>8.6190000000000069</v>
      </c>
      <c r="X91" s="34"/>
    </row>
    <row r="92" spans="2:24" x14ac:dyDescent="0.15">
      <c r="M92" s="136">
        <f t="shared" si="18"/>
        <v>14.239268702395737</v>
      </c>
      <c r="N92" s="136">
        <f t="shared" si="11"/>
        <v>183.1527551020408</v>
      </c>
      <c r="O92" s="136">
        <f t="shared" si="12"/>
        <v>-508.91959183673498</v>
      </c>
      <c r="P92" s="136">
        <f t="shared" si="13"/>
        <v>9.576666666666668</v>
      </c>
      <c r="Q92" s="136">
        <f t="shared" si="14"/>
        <v>3.4476</v>
      </c>
      <c r="R92" s="136">
        <f t="shared" si="15"/>
        <v>17.927170868347339</v>
      </c>
      <c r="S92" s="136">
        <f t="shared" si="16"/>
        <v>5.9757236227824464</v>
      </c>
      <c r="T92" s="136">
        <f t="shared" si="19"/>
        <v>48.787427505383341</v>
      </c>
      <c r="U92" s="136">
        <f t="shared" si="17"/>
        <v>221.69418367346915</v>
      </c>
      <c r="V92" s="137">
        <f t="shared" si="20"/>
        <v>16.58263305322129</v>
      </c>
      <c r="W92" s="137">
        <f t="shared" si="21"/>
        <v>8.8584166666666739</v>
      </c>
      <c r="X92" s="34"/>
    </row>
    <row r="93" spans="2:24" x14ac:dyDescent="0.15">
      <c r="B93" s="206" t="s">
        <v>150</v>
      </c>
      <c r="C93" s="207"/>
      <c r="D93" s="208"/>
      <c r="E93" s="206" t="s">
        <v>151</v>
      </c>
      <c r="F93" s="207"/>
      <c r="G93" s="207"/>
      <c r="H93" s="207"/>
      <c r="I93" s="208"/>
      <c r="M93" s="136">
        <f t="shared" si="18"/>
        <v>14.624113802460487</v>
      </c>
      <c r="N93" s="136">
        <f t="shared" si="11"/>
        <v>171.00734693877553</v>
      </c>
      <c r="O93" s="136">
        <f t="shared" si="12"/>
        <v>-557.50122448979607</v>
      </c>
      <c r="P93" s="136">
        <f t="shared" si="13"/>
        <v>9.576666666666668</v>
      </c>
      <c r="Q93" s="136">
        <f t="shared" si="14"/>
        <v>3.4476</v>
      </c>
      <c r="R93" s="136">
        <f t="shared" si="15"/>
        <v>17.927170868347339</v>
      </c>
      <c r="S93" s="136">
        <f t="shared" si="16"/>
        <v>5.9757236227824464</v>
      </c>
      <c r="T93" s="136">
        <f t="shared" si="19"/>
        <v>50.106006627150457</v>
      </c>
      <c r="U93" s="136">
        <f t="shared" si="17"/>
        <v>233.83959183673448</v>
      </c>
      <c r="V93" s="137">
        <f t="shared" si="20"/>
        <v>17.030812324929972</v>
      </c>
      <c r="W93" s="137">
        <f t="shared" si="21"/>
        <v>9.097833333333341</v>
      </c>
      <c r="X93" s="34"/>
    </row>
    <row r="94" spans="2:24" x14ac:dyDescent="0.15">
      <c r="B94" s="167" t="s">
        <v>152</v>
      </c>
      <c r="C94" s="209" t="s">
        <v>153</v>
      </c>
      <c r="D94" s="210"/>
      <c r="E94" s="228" t="s">
        <v>154</v>
      </c>
      <c r="F94" s="209" t="s">
        <v>155</v>
      </c>
      <c r="G94" s="211"/>
      <c r="H94" s="211"/>
      <c r="I94" s="210"/>
      <c r="M94" s="136">
        <f t="shared" si="18"/>
        <v>15.008958902525237</v>
      </c>
      <c r="N94" s="136">
        <f t="shared" si="11"/>
        <v>158.53806122448978</v>
      </c>
      <c r="O94" s="136">
        <f t="shared" si="12"/>
        <v>-607.37836734693883</v>
      </c>
      <c r="P94" s="136">
        <f t="shared" si="13"/>
        <v>9.576666666666668</v>
      </c>
      <c r="Q94" s="136">
        <f t="shared" si="14"/>
        <v>3.4476</v>
      </c>
      <c r="R94" s="136">
        <f t="shared" si="15"/>
        <v>17.927170868347339</v>
      </c>
      <c r="S94" s="136">
        <f t="shared" si="16"/>
        <v>5.9757236227824464</v>
      </c>
      <c r="T94" s="136">
        <f t="shared" si="19"/>
        <v>51.424585748917572</v>
      </c>
      <c r="U94" s="136">
        <f t="shared" si="17"/>
        <v>246.30887755102015</v>
      </c>
      <c r="V94" s="137">
        <f t="shared" si="20"/>
        <v>17.478991596638654</v>
      </c>
      <c r="W94" s="137">
        <f t="shared" si="21"/>
        <v>9.337250000000008</v>
      </c>
      <c r="X94" s="34"/>
    </row>
    <row r="95" spans="2:24" x14ac:dyDescent="0.15">
      <c r="B95" s="167">
        <v>1</v>
      </c>
      <c r="C95" s="209" t="s">
        <v>156</v>
      </c>
      <c r="D95" s="210"/>
      <c r="E95" s="229"/>
      <c r="F95" s="169" t="s">
        <v>157</v>
      </c>
      <c r="G95" s="168" t="s">
        <v>158</v>
      </c>
      <c r="H95" s="169" t="s">
        <v>159</v>
      </c>
      <c r="I95" s="173" t="s">
        <v>160</v>
      </c>
      <c r="M95" s="136">
        <f t="shared" si="18"/>
        <v>15.393804002589986</v>
      </c>
      <c r="N95" s="136">
        <f t="shared" si="11"/>
        <v>145.74489795918362</v>
      </c>
      <c r="O95" s="136">
        <f t="shared" si="12"/>
        <v>-658.55102040816359</v>
      </c>
      <c r="P95" s="136">
        <f t="shared" si="13"/>
        <v>9.576666666666668</v>
      </c>
      <c r="Q95" s="136">
        <f t="shared" si="14"/>
        <v>3.4476</v>
      </c>
      <c r="R95" s="136">
        <f t="shared" si="15"/>
        <v>17.927170868347339</v>
      </c>
      <c r="S95" s="136">
        <f t="shared" si="16"/>
        <v>5.9757236227824464</v>
      </c>
      <c r="T95" s="136">
        <f t="shared" si="19"/>
        <v>52.743164870684687</v>
      </c>
      <c r="U95" s="136">
        <f t="shared" si="17"/>
        <v>259.10204081632622</v>
      </c>
      <c r="V95" s="137">
        <f t="shared" si="20"/>
        <v>17.927170868347336</v>
      </c>
      <c r="W95" s="137">
        <f t="shared" si="21"/>
        <v>9.5766666666666751</v>
      </c>
      <c r="X95" s="34"/>
    </row>
    <row r="96" spans="2:24" x14ac:dyDescent="0.15">
      <c r="B96" s="167">
        <v>1.5</v>
      </c>
      <c r="C96" s="209" t="s">
        <v>161</v>
      </c>
      <c r="D96" s="210"/>
      <c r="E96" s="167" t="s">
        <v>162</v>
      </c>
      <c r="F96" s="169">
        <v>30</v>
      </c>
      <c r="G96" s="232" t="s">
        <v>163</v>
      </c>
      <c r="H96" s="235" t="s">
        <v>164</v>
      </c>
      <c r="I96" s="238" t="s">
        <v>165</v>
      </c>
      <c r="M96" s="136">
        <f t="shared" si="18"/>
        <v>15.778649102654736</v>
      </c>
      <c r="N96" s="136">
        <f t="shared" si="11"/>
        <v>132.62785714285712</v>
      </c>
      <c r="O96" s="136">
        <f t="shared" si="12"/>
        <v>-711.0191836734698</v>
      </c>
      <c r="P96" s="136">
        <f t="shared" si="13"/>
        <v>9.576666666666668</v>
      </c>
      <c r="Q96" s="136">
        <f t="shared" si="14"/>
        <v>3.4476</v>
      </c>
      <c r="R96" s="136">
        <f t="shared" si="15"/>
        <v>17.927170868347339</v>
      </c>
      <c r="S96" s="136">
        <f t="shared" si="16"/>
        <v>5.9757236227824464</v>
      </c>
      <c r="T96" s="136">
        <f t="shared" si="19"/>
        <v>54.061743992451802</v>
      </c>
      <c r="U96" s="136">
        <f t="shared" si="17"/>
        <v>272.21908163265272</v>
      </c>
      <c r="V96" s="137">
        <f t="shared" si="20"/>
        <v>18.375350140056018</v>
      </c>
      <c r="W96" s="137">
        <f t="shared" si="21"/>
        <v>9.8160833333333422</v>
      </c>
      <c r="X96" s="34"/>
    </row>
    <row r="97" spans="2:24" x14ac:dyDescent="0.15">
      <c r="B97" s="167">
        <v>2</v>
      </c>
      <c r="C97" s="209" t="s">
        <v>166</v>
      </c>
      <c r="D97" s="210"/>
      <c r="E97" s="167" t="s">
        <v>167</v>
      </c>
      <c r="F97" s="169">
        <v>40</v>
      </c>
      <c r="G97" s="233"/>
      <c r="H97" s="236"/>
      <c r="I97" s="239"/>
      <c r="M97" s="136">
        <f t="shared" si="18"/>
        <v>16.163494202719484</v>
      </c>
      <c r="N97" s="136">
        <f t="shared" si="11"/>
        <v>119.18693877551021</v>
      </c>
      <c r="O97" s="136">
        <f t="shared" si="12"/>
        <v>-764.78285714285698</v>
      </c>
      <c r="P97" s="136">
        <f t="shared" si="13"/>
        <v>9.576666666666668</v>
      </c>
      <c r="Q97" s="136">
        <f t="shared" si="14"/>
        <v>3.4476</v>
      </c>
      <c r="R97" s="136">
        <f t="shared" si="15"/>
        <v>17.927170868347339</v>
      </c>
      <c r="S97" s="136">
        <f t="shared" si="16"/>
        <v>5.9757236227824464</v>
      </c>
      <c r="T97" s="136">
        <f t="shared" si="19"/>
        <v>55.380323114218918</v>
      </c>
      <c r="U97" s="136">
        <f t="shared" si="17"/>
        <v>285.65999999999957</v>
      </c>
      <c r="V97" s="137">
        <f t="shared" si="20"/>
        <v>18.823529411764699</v>
      </c>
      <c r="W97" s="137">
        <f t="shared" si="21"/>
        <v>10.055500000000009</v>
      </c>
      <c r="X97" s="34"/>
    </row>
    <row r="98" spans="2:24" x14ac:dyDescent="0.15">
      <c r="B98" s="167">
        <v>2.5</v>
      </c>
      <c r="C98" s="209" t="s">
        <v>168</v>
      </c>
      <c r="D98" s="210"/>
      <c r="E98" s="167" t="s">
        <v>169</v>
      </c>
      <c r="F98" s="169">
        <v>50</v>
      </c>
      <c r="G98" s="233"/>
      <c r="H98" s="236"/>
      <c r="I98" s="239"/>
      <c r="M98" s="136">
        <f t="shared" si="18"/>
        <v>16.548339302784232</v>
      </c>
      <c r="N98" s="136">
        <f t="shared" si="11"/>
        <v>105.42214285714294</v>
      </c>
      <c r="O98" s="136">
        <f t="shared" si="12"/>
        <v>-819.84204081632629</v>
      </c>
      <c r="P98" s="136">
        <f t="shared" si="13"/>
        <v>9.576666666666668</v>
      </c>
      <c r="Q98" s="136">
        <f t="shared" si="14"/>
        <v>3.4476</v>
      </c>
      <c r="R98" s="136">
        <f t="shared" si="15"/>
        <v>17.927170868347339</v>
      </c>
      <c r="S98" s="136">
        <f t="shared" si="16"/>
        <v>5.9757236227824464</v>
      </c>
      <c r="T98" s="136">
        <f t="shared" si="19"/>
        <v>56.698902235986033</v>
      </c>
      <c r="U98" s="136">
        <f t="shared" si="17"/>
        <v>299.4247959183669</v>
      </c>
      <c r="V98" s="137">
        <f t="shared" si="20"/>
        <v>19.271708683473381</v>
      </c>
      <c r="W98" s="137">
        <f t="shared" si="21"/>
        <v>10.294916666666676</v>
      </c>
      <c r="X98" s="34"/>
    </row>
    <row r="99" spans="2:24" x14ac:dyDescent="0.15">
      <c r="B99" s="167">
        <v>3</v>
      </c>
      <c r="C99" s="209" t="s">
        <v>170</v>
      </c>
      <c r="D99" s="210"/>
      <c r="E99" s="170" t="s">
        <v>171</v>
      </c>
      <c r="F99" s="171">
        <v>60</v>
      </c>
      <c r="G99" s="234"/>
      <c r="H99" s="237"/>
      <c r="I99" s="240"/>
      <c r="M99" s="136">
        <f t="shared" si="18"/>
        <v>16.93318440284898</v>
      </c>
      <c r="N99" s="136">
        <f t="shared" si="11"/>
        <v>91.333469387755258</v>
      </c>
      <c r="O99" s="136">
        <f t="shared" si="12"/>
        <v>-876.19673469387703</v>
      </c>
      <c r="P99" s="136">
        <f t="shared" si="13"/>
        <v>9.576666666666668</v>
      </c>
      <c r="Q99" s="136">
        <f t="shared" si="14"/>
        <v>3.4476</v>
      </c>
      <c r="R99" s="136">
        <f t="shared" si="15"/>
        <v>17.927170868347339</v>
      </c>
      <c r="S99" s="136">
        <f t="shared" si="16"/>
        <v>5.9757236227824464</v>
      </c>
      <c r="T99" s="136">
        <f t="shared" si="19"/>
        <v>58.017481357753148</v>
      </c>
      <c r="U99" s="136">
        <f t="shared" si="17"/>
        <v>313.51346938775458</v>
      </c>
      <c r="V99" s="137">
        <f t="shared" si="20"/>
        <v>19.719887955182063</v>
      </c>
      <c r="W99" s="137">
        <f t="shared" si="21"/>
        <v>10.534333333333343</v>
      </c>
      <c r="X99" s="34"/>
    </row>
    <row r="100" spans="2:24" x14ac:dyDescent="0.15">
      <c r="B100" s="170">
        <v>3.5</v>
      </c>
      <c r="C100" s="212" t="s">
        <v>172</v>
      </c>
      <c r="D100" s="213"/>
      <c r="M100" s="136">
        <f t="shared" si="18"/>
        <v>17.318029502913728</v>
      </c>
      <c r="N100" s="136">
        <f t="shared" si="11"/>
        <v>76.920918367347213</v>
      </c>
      <c r="O100" s="136">
        <f t="shared" si="12"/>
        <v>-933.84693877550944</v>
      </c>
      <c r="P100" s="136">
        <f t="shared" si="13"/>
        <v>9.576666666666668</v>
      </c>
      <c r="Q100" s="136">
        <f t="shared" si="14"/>
        <v>3.4476</v>
      </c>
      <c r="R100" s="136">
        <f t="shared" si="15"/>
        <v>17.927170868347339</v>
      </c>
      <c r="S100" s="136">
        <f t="shared" si="16"/>
        <v>5.9757236227824464</v>
      </c>
      <c r="T100" s="136">
        <f t="shared" si="19"/>
        <v>59.336060479520263</v>
      </c>
      <c r="U100" s="136">
        <f t="shared" si="17"/>
        <v>327.92602040816274</v>
      </c>
      <c r="V100" s="137">
        <f t="shared" si="20"/>
        <v>20.168067226890745</v>
      </c>
      <c r="W100" s="137">
        <f t="shared" si="21"/>
        <v>10.77375000000001</v>
      </c>
      <c r="X100" s="34"/>
    </row>
    <row r="101" spans="2:24" x14ac:dyDescent="0.15">
      <c r="B101" s="170">
        <v>4.5</v>
      </c>
      <c r="C101" s="212" t="s">
        <v>173</v>
      </c>
      <c r="D101" s="213"/>
      <c r="M101" s="136">
        <f t="shared" si="18"/>
        <v>17.702874602978476</v>
      </c>
      <c r="N101" s="136">
        <f t="shared" si="11"/>
        <v>62.184489795918637</v>
      </c>
      <c r="O101" s="136">
        <f t="shared" si="12"/>
        <v>-992.79265306122329</v>
      </c>
      <c r="P101" s="136">
        <f t="shared" si="13"/>
        <v>9.576666666666668</v>
      </c>
      <c r="Q101" s="136">
        <f t="shared" si="14"/>
        <v>3.4476</v>
      </c>
      <c r="R101" s="136">
        <f t="shared" si="15"/>
        <v>17.927170868347339</v>
      </c>
      <c r="S101" s="136">
        <f t="shared" si="16"/>
        <v>5.9757236227824464</v>
      </c>
      <c r="T101" s="136">
        <f t="shared" si="19"/>
        <v>60.654639601287379</v>
      </c>
      <c r="U101" s="136">
        <f t="shared" si="17"/>
        <v>342.6624489795912</v>
      </c>
      <c r="V101" s="137">
        <f t="shared" si="20"/>
        <v>20.616246498599427</v>
      </c>
      <c r="W101" s="137">
        <f t="shared" si="21"/>
        <v>11.013166666666677</v>
      </c>
      <c r="X101" s="34"/>
    </row>
    <row r="102" spans="2:24" x14ac:dyDescent="0.15">
      <c r="B102" s="170">
        <v>5</v>
      </c>
      <c r="C102" s="212" t="s">
        <v>174</v>
      </c>
      <c r="D102" s="214"/>
      <c r="E102" s="206" t="s">
        <v>175</v>
      </c>
      <c r="F102" s="207"/>
      <c r="G102" s="207"/>
      <c r="H102" s="207"/>
      <c r="I102" s="207"/>
      <c r="J102" s="208"/>
      <c r="M102" s="136">
        <f t="shared" si="18"/>
        <v>18.087719703043224</v>
      </c>
      <c r="N102" s="136">
        <f t="shared" si="11"/>
        <v>47.124183673469759</v>
      </c>
      <c r="O102" s="136">
        <f t="shared" si="12"/>
        <v>-1053.033877551019</v>
      </c>
      <c r="P102" s="136">
        <f t="shared" si="13"/>
        <v>9.576666666666668</v>
      </c>
      <c r="Q102" s="136">
        <f t="shared" si="14"/>
        <v>3.4476</v>
      </c>
      <c r="R102" s="136">
        <f t="shared" si="15"/>
        <v>17.927170868347339</v>
      </c>
      <c r="S102" s="136">
        <f t="shared" si="16"/>
        <v>5.9757236227824464</v>
      </c>
      <c r="T102" s="136">
        <f t="shared" si="19"/>
        <v>61.973218723054494</v>
      </c>
      <c r="U102" s="136">
        <f t="shared" si="17"/>
        <v>357.7227551020402</v>
      </c>
      <c r="V102" s="137">
        <f t="shared" si="20"/>
        <v>21.064425770308109</v>
      </c>
      <c r="W102" s="137">
        <f t="shared" si="21"/>
        <v>11.252583333333344</v>
      </c>
      <c r="X102" s="34"/>
    </row>
    <row r="103" spans="2:24" x14ac:dyDescent="0.15">
      <c r="B103" s="170">
        <v>5.5</v>
      </c>
      <c r="C103" s="212" t="s">
        <v>176</v>
      </c>
      <c r="D103" s="214"/>
      <c r="E103" s="230" t="s">
        <v>177</v>
      </c>
      <c r="F103" s="209" t="s">
        <v>178</v>
      </c>
      <c r="G103" s="211"/>
      <c r="H103" s="211"/>
      <c r="I103" s="211"/>
      <c r="J103" s="210"/>
      <c r="M103" s="136">
        <f t="shared" si="18"/>
        <v>18.472564803107971</v>
      </c>
      <c r="N103" s="136">
        <f t="shared" si="11"/>
        <v>31.740000000000464</v>
      </c>
      <c r="O103" s="136">
        <f t="shared" si="12"/>
        <v>-1114.5706122448962</v>
      </c>
      <c r="P103" s="136">
        <f t="shared" si="13"/>
        <v>9.576666666666668</v>
      </c>
      <c r="Q103" s="136">
        <f t="shared" si="14"/>
        <v>3.4476</v>
      </c>
      <c r="R103" s="136">
        <f t="shared" si="15"/>
        <v>17.927170868347339</v>
      </c>
      <c r="S103" s="136">
        <f t="shared" si="16"/>
        <v>5.9757236227824464</v>
      </c>
      <c r="T103" s="136">
        <f t="shared" si="19"/>
        <v>63.291797844821609</v>
      </c>
      <c r="U103" s="136">
        <f t="shared" si="17"/>
        <v>373.10693877550966</v>
      </c>
      <c r="V103" s="137">
        <f t="shared" si="20"/>
        <v>21.512605042016791</v>
      </c>
      <c r="W103" s="137">
        <f t="shared" si="21"/>
        <v>11.492000000000012</v>
      </c>
      <c r="X103" s="34"/>
    </row>
    <row r="104" spans="2:24" x14ac:dyDescent="0.15">
      <c r="B104" s="170">
        <v>6</v>
      </c>
      <c r="C104" s="212" t="s">
        <v>179</v>
      </c>
      <c r="D104" s="214"/>
      <c r="E104" s="231"/>
      <c r="F104" s="215" t="s">
        <v>180</v>
      </c>
      <c r="G104" s="215"/>
      <c r="H104" s="169" t="s">
        <v>181</v>
      </c>
      <c r="I104" s="215" t="s">
        <v>182</v>
      </c>
      <c r="J104" s="216"/>
      <c r="M104" s="136">
        <f t="shared" si="18"/>
        <v>18.857409903172719</v>
      </c>
      <c r="N104" s="136">
        <f t="shared" si="11"/>
        <v>16.031938775510753</v>
      </c>
      <c r="O104" s="136">
        <f t="shared" si="12"/>
        <v>-1177.4028571428551</v>
      </c>
      <c r="P104" s="136">
        <f t="shared" si="13"/>
        <v>9.576666666666668</v>
      </c>
      <c r="Q104" s="136">
        <f t="shared" si="14"/>
        <v>3.4476</v>
      </c>
      <c r="R104" s="136">
        <f t="shared" si="15"/>
        <v>17.927170868347339</v>
      </c>
      <c r="S104" s="136">
        <f t="shared" si="16"/>
        <v>5.9757236227824464</v>
      </c>
      <c r="T104" s="136">
        <f t="shared" si="19"/>
        <v>64.610376966588731</v>
      </c>
      <c r="U104" s="136">
        <f t="shared" si="17"/>
        <v>388.81499999999949</v>
      </c>
      <c r="V104" s="137">
        <f t="shared" si="20"/>
        <v>21.960784313725473</v>
      </c>
      <c r="W104" s="137">
        <f t="shared" si="21"/>
        <v>11.731416666666679</v>
      </c>
      <c r="X104" s="34"/>
    </row>
    <row r="105" spans="2:24" x14ac:dyDescent="0.15">
      <c r="B105" s="170">
        <v>6.5</v>
      </c>
      <c r="C105" s="212" t="s">
        <v>183</v>
      </c>
      <c r="D105" s="214"/>
      <c r="E105" s="229"/>
      <c r="F105" s="209" t="s">
        <v>184</v>
      </c>
      <c r="G105" s="211"/>
      <c r="H105" s="211"/>
      <c r="I105" s="211"/>
      <c r="J105" s="210"/>
      <c r="M105" s="136">
        <f t="shared" si="18"/>
        <v>19.242255003237467</v>
      </c>
      <c r="N105" s="136">
        <f t="shared" si="11"/>
        <v>5.6843418860808015E-13</v>
      </c>
      <c r="O105" s="136">
        <f t="shared" si="12"/>
        <v>-1241.5306122448956</v>
      </c>
      <c r="P105" s="136">
        <f t="shared" si="13"/>
        <v>9.576666666666668</v>
      </c>
      <c r="Q105" s="136">
        <f t="shared" si="14"/>
        <v>3.4476</v>
      </c>
      <c r="R105" s="136">
        <f t="shared" si="15"/>
        <v>17.927170868347339</v>
      </c>
      <c r="S105" s="136">
        <f t="shared" si="16"/>
        <v>5.9757236227824464</v>
      </c>
      <c r="T105" s="136">
        <f t="shared" si="19"/>
        <v>65.928956088355847</v>
      </c>
      <c r="U105" s="136">
        <f t="shared" si="17"/>
        <v>404.84693877550956</v>
      </c>
      <c r="V105" s="137">
        <f t="shared" si="20"/>
        <v>22.408963585434154</v>
      </c>
      <c r="W105" s="137">
        <f t="shared" si="21"/>
        <v>11.970833333333346</v>
      </c>
      <c r="X105" s="34"/>
    </row>
    <row r="106" spans="2:24" x14ac:dyDescent="0.15">
      <c r="B106" s="170">
        <v>7</v>
      </c>
      <c r="C106" s="212" t="s">
        <v>185</v>
      </c>
      <c r="D106" s="214"/>
      <c r="E106" s="167" t="s">
        <v>186</v>
      </c>
      <c r="F106" s="215">
        <v>56</v>
      </c>
      <c r="G106" s="215"/>
      <c r="H106" s="169">
        <v>45</v>
      </c>
      <c r="I106" s="215">
        <v>34</v>
      </c>
      <c r="J106" s="216"/>
      <c r="M106" s="183"/>
      <c r="N106" s="34"/>
      <c r="O106" s="34"/>
      <c r="P106" s="34"/>
      <c r="Q106" s="34"/>
      <c r="R106" s="34"/>
      <c r="S106" s="34"/>
      <c r="T106" s="183"/>
      <c r="U106" s="183"/>
      <c r="V106" s="183"/>
      <c r="W106" s="183"/>
      <c r="X106" s="34"/>
    </row>
    <row r="107" spans="2:24" x14ac:dyDescent="0.15">
      <c r="E107" s="167" t="s">
        <v>187</v>
      </c>
      <c r="F107" s="215">
        <v>38</v>
      </c>
      <c r="G107" s="215"/>
      <c r="H107" s="169">
        <v>30</v>
      </c>
      <c r="I107" s="215">
        <v>23</v>
      </c>
      <c r="J107" s="216"/>
    </row>
    <row r="108" spans="2:24" x14ac:dyDescent="0.15">
      <c r="E108" s="167" t="s">
        <v>188</v>
      </c>
      <c r="F108" s="215">
        <v>19</v>
      </c>
      <c r="G108" s="215"/>
      <c r="H108" s="169">
        <v>15</v>
      </c>
      <c r="I108" s="215">
        <v>12</v>
      </c>
      <c r="J108" s="216"/>
    </row>
    <row r="109" spans="2:24" x14ac:dyDescent="0.15">
      <c r="B109" s="217" t="s">
        <v>189</v>
      </c>
      <c r="C109" s="218"/>
      <c r="D109" s="219"/>
      <c r="E109" s="172" t="s">
        <v>190</v>
      </c>
      <c r="F109" s="215">
        <v>15</v>
      </c>
      <c r="G109" s="215"/>
      <c r="H109" s="169">
        <v>12</v>
      </c>
      <c r="I109" s="215">
        <v>9</v>
      </c>
      <c r="J109" s="216"/>
    </row>
    <row r="110" spans="2:24" x14ac:dyDescent="0.15">
      <c r="B110" s="167" t="s">
        <v>191</v>
      </c>
      <c r="C110" s="215" t="s">
        <v>192</v>
      </c>
      <c r="D110" s="216"/>
      <c r="E110" s="172" t="s">
        <v>193</v>
      </c>
      <c r="F110" s="215">
        <v>12</v>
      </c>
      <c r="G110" s="215"/>
      <c r="H110" s="169">
        <v>9</v>
      </c>
      <c r="I110" s="215">
        <v>7</v>
      </c>
      <c r="J110" s="216"/>
    </row>
    <row r="111" spans="2:24" x14ac:dyDescent="0.15">
      <c r="B111" s="167">
        <v>1</v>
      </c>
      <c r="C111" s="215" t="s">
        <v>194</v>
      </c>
      <c r="D111" s="216"/>
      <c r="E111" s="174" t="s">
        <v>195</v>
      </c>
      <c r="F111" s="220">
        <v>8</v>
      </c>
      <c r="G111" s="220"/>
      <c r="H111" s="171">
        <v>6</v>
      </c>
      <c r="I111" s="220">
        <v>5</v>
      </c>
      <c r="J111" s="221"/>
    </row>
    <row r="112" spans="2:24" x14ac:dyDescent="0.15">
      <c r="B112" s="167">
        <v>1.5</v>
      </c>
      <c r="C112" s="215" t="s">
        <v>196</v>
      </c>
      <c r="D112" s="216"/>
      <c r="E112" s="175" t="s">
        <v>10</v>
      </c>
      <c r="F112" s="222"/>
      <c r="G112" s="222"/>
      <c r="I112" s="222" t="s">
        <v>197</v>
      </c>
      <c r="J112" s="222"/>
    </row>
    <row r="113" spans="2:12" x14ac:dyDescent="0.15">
      <c r="B113" s="167">
        <v>2</v>
      </c>
      <c r="C113" s="215" t="s">
        <v>198</v>
      </c>
      <c r="D113" s="216"/>
      <c r="E113" s="175" t="s">
        <v>10</v>
      </c>
      <c r="F113" s="222"/>
      <c r="G113" s="222"/>
    </row>
    <row r="114" spans="2:12" x14ac:dyDescent="0.15">
      <c r="B114" s="167">
        <v>2.5</v>
      </c>
      <c r="C114" s="215" t="s">
        <v>199</v>
      </c>
      <c r="D114" s="216"/>
      <c r="E114" s="175"/>
      <c r="F114" s="222"/>
      <c r="G114" s="222"/>
    </row>
    <row r="115" spans="2:12" x14ac:dyDescent="0.15">
      <c r="B115" s="167">
        <v>3</v>
      </c>
      <c r="C115" s="215" t="s">
        <v>200</v>
      </c>
      <c r="D115" s="216"/>
      <c r="E115" s="3"/>
      <c r="F115" s="3"/>
      <c r="G115" s="3"/>
      <c r="H115" s="3"/>
      <c r="I115" s="3"/>
    </row>
    <row r="116" spans="2:12" x14ac:dyDescent="0.15">
      <c r="B116" s="167">
        <v>3.5</v>
      </c>
      <c r="C116" s="215" t="s">
        <v>201</v>
      </c>
      <c r="D116" s="216"/>
      <c r="E116" s="3"/>
      <c r="F116" s="3"/>
      <c r="G116" s="3"/>
      <c r="H116" s="3"/>
      <c r="I116" s="3"/>
    </row>
    <row r="117" spans="2:12" ht="60.95" customHeight="1" x14ac:dyDescent="0.15">
      <c r="B117" s="167">
        <v>4</v>
      </c>
      <c r="C117" s="215" t="s">
        <v>202</v>
      </c>
      <c r="D117" s="216"/>
      <c r="E117" s="3"/>
      <c r="F117" s="3"/>
      <c r="G117" s="3"/>
      <c r="H117" s="3"/>
      <c r="I117" s="3"/>
      <c r="L117" s="184"/>
    </row>
    <row r="118" spans="2:12" x14ac:dyDescent="0.15">
      <c r="B118" s="167">
        <v>4.5</v>
      </c>
      <c r="C118" s="215" t="s">
        <v>203</v>
      </c>
      <c r="D118" s="216"/>
      <c r="E118" s="3"/>
      <c r="F118" s="3"/>
      <c r="G118" s="3"/>
      <c r="H118" s="3"/>
      <c r="I118" s="3"/>
      <c r="L118" s="184"/>
    </row>
    <row r="119" spans="2:12" x14ac:dyDescent="0.15">
      <c r="B119" s="167">
        <v>5</v>
      </c>
      <c r="C119" s="215" t="s">
        <v>204</v>
      </c>
      <c r="D119" s="216"/>
      <c r="E119" s="3"/>
      <c r="F119" s="3"/>
      <c r="G119" s="3"/>
      <c r="H119" s="3"/>
      <c r="I119" s="3"/>
      <c r="L119" s="184"/>
    </row>
    <row r="120" spans="2:12" x14ac:dyDescent="0.15">
      <c r="B120" s="167">
        <v>6</v>
      </c>
      <c r="C120" s="215" t="s">
        <v>205</v>
      </c>
      <c r="D120" s="216"/>
      <c r="E120" s="3"/>
      <c r="F120" s="3"/>
      <c r="G120" s="3"/>
      <c r="H120" s="3"/>
      <c r="I120" s="3"/>
      <c r="L120" s="184"/>
    </row>
    <row r="121" spans="2:12" x14ac:dyDescent="0.15">
      <c r="B121" s="167">
        <v>7</v>
      </c>
      <c r="C121" s="215" t="s">
        <v>206</v>
      </c>
      <c r="D121" s="216"/>
      <c r="E121" s="3"/>
      <c r="F121" s="3"/>
      <c r="G121" s="3"/>
      <c r="H121" s="3"/>
      <c r="I121" s="3"/>
      <c r="L121" s="184"/>
    </row>
    <row r="122" spans="2:12" x14ac:dyDescent="0.15">
      <c r="B122" s="167">
        <v>8</v>
      </c>
      <c r="C122" s="215" t="s">
        <v>207</v>
      </c>
      <c r="D122" s="216"/>
      <c r="E122" s="3"/>
      <c r="F122" s="3"/>
      <c r="G122" s="3"/>
      <c r="H122" s="3"/>
      <c r="I122" s="3"/>
    </row>
    <row r="123" spans="2:12" x14ac:dyDescent="0.15">
      <c r="B123" s="167">
        <v>9</v>
      </c>
      <c r="C123" s="215" t="s">
        <v>208</v>
      </c>
      <c r="D123" s="216"/>
    </row>
    <row r="124" spans="2:12" x14ac:dyDescent="0.15">
      <c r="B124" s="170">
        <v>10</v>
      </c>
      <c r="C124" s="220" t="s">
        <v>209</v>
      </c>
      <c r="D124" s="221"/>
    </row>
    <row r="127" spans="2:12" ht="20.100000000000001" customHeight="1" x14ac:dyDescent="0.15">
      <c r="B127" s="223" t="s">
        <v>210</v>
      </c>
      <c r="C127" s="223"/>
      <c r="D127" s="223"/>
      <c r="E127" s="223"/>
    </row>
    <row r="128" spans="2:12" ht="30.75" customHeight="1" x14ac:dyDescent="0.15">
      <c r="B128" s="176" t="s">
        <v>211</v>
      </c>
      <c r="C128" s="176" t="s">
        <v>212</v>
      </c>
      <c r="D128" s="176" t="s">
        <v>213</v>
      </c>
      <c r="E128" s="176" t="s">
        <v>214</v>
      </c>
    </row>
    <row r="129" spans="2:5" ht="20.100000000000001" customHeight="1" x14ac:dyDescent="0.15">
      <c r="B129" s="176" t="s">
        <v>215</v>
      </c>
      <c r="C129" s="176" t="s">
        <v>216</v>
      </c>
      <c r="D129" s="176" t="s">
        <v>217</v>
      </c>
      <c r="E129" s="176">
        <v>5.0000000000000001E-3</v>
      </c>
    </row>
    <row r="130" spans="2:5" ht="20.100000000000001" customHeight="1" x14ac:dyDescent="0.15">
      <c r="B130" s="176">
        <v>1</v>
      </c>
      <c r="C130" s="176" t="s">
        <v>156</v>
      </c>
      <c r="D130" s="176" t="s">
        <v>218</v>
      </c>
      <c r="E130" s="176">
        <v>8.0000000000000002E-3</v>
      </c>
    </row>
    <row r="131" spans="2:5" ht="20.100000000000001" customHeight="1" x14ac:dyDescent="0.15">
      <c r="B131" s="176">
        <v>1.5</v>
      </c>
      <c r="C131" s="176" t="s">
        <v>161</v>
      </c>
      <c r="D131" s="176" t="s">
        <v>219</v>
      </c>
      <c r="E131" s="176">
        <v>0.01</v>
      </c>
    </row>
    <row r="132" spans="2:5" ht="20.100000000000001" customHeight="1" x14ac:dyDescent="0.15">
      <c r="B132" s="176">
        <v>2</v>
      </c>
      <c r="C132" s="176" t="s">
        <v>166</v>
      </c>
      <c r="D132" s="176" t="s">
        <v>220</v>
      </c>
      <c r="E132" s="176">
        <v>1.2E-2</v>
      </c>
    </row>
    <row r="133" spans="2:5" ht="20.100000000000001" customHeight="1" x14ac:dyDescent="0.15">
      <c r="B133" s="176">
        <v>2.5</v>
      </c>
      <c r="C133" s="176" t="s">
        <v>168</v>
      </c>
      <c r="D133" s="176" t="s">
        <v>221</v>
      </c>
      <c r="E133" s="176">
        <v>1.4E-2</v>
      </c>
    </row>
    <row r="134" spans="2:5" ht="20.100000000000001" customHeight="1" x14ac:dyDescent="0.15">
      <c r="B134" s="176">
        <v>3</v>
      </c>
      <c r="C134" s="176" t="s">
        <v>170</v>
      </c>
      <c r="D134" s="176" t="s">
        <v>222</v>
      </c>
      <c r="E134" s="176">
        <v>1.6E-2</v>
      </c>
    </row>
    <row r="135" spans="2:5" ht="20.100000000000001" customHeight="1" x14ac:dyDescent="0.15">
      <c r="B135" s="176">
        <v>3.5</v>
      </c>
      <c r="C135" s="176" t="s">
        <v>172</v>
      </c>
      <c r="D135" s="176" t="s">
        <v>223</v>
      </c>
      <c r="E135" s="176">
        <v>1.9E-2</v>
      </c>
    </row>
    <row r="136" spans="2:5" ht="20.100000000000001" customHeight="1" x14ac:dyDescent="0.15">
      <c r="B136" s="176">
        <v>4</v>
      </c>
      <c r="C136" s="176" t="s">
        <v>224</v>
      </c>
      <c r="D136" s="176" t="s">
        <v>225</v>
      </c>
      <c r="E136" s="176">
        <v>2.1999999999999999E-2</v>
      </c>
    </row>
    <row r="137" spans="2:5" ht="20.100000000000001" customHeight="1" x14ac:dyDescent="0.15">
      <c r="B137" s="176">
        <v>5</v>
      </c>
      <c r="C137" s="176" t="s">
        <v>173</v>
      </c>
      <c r="D137" s="176" t="s">
        <v>226</v>
      </c>
      <c r="E137" s="176">
        <v>2.8000000000000001E-2</v>
      </c>
    </row>
    <row r="138" spans="2:5" ht="20.100000000000001" customHeight="1" x14ac:dyDescent="0.15">
      <c r="B138" s="176">
        <v>6</v>
      </c>
      <c r="C138" s="176" t="s">
        <v>174</v>
      </c>
      <c r="D138" s="176" t="s">
        <v>227</v>
      </c>
      <c r="E138" s="176">
        <v>3.2000000000000001E-2</v>
      </c>
    </row>
    <row r="139" spans="2:5" ht="20.100000000000001" customHeight="1" x14ac:dyDescent="0.15">
      <c r="B139" s="176">
        <v>8</v>
      </c>
      <c r="C139" s="176" t="s">
        <v>176</v>
      </c>
      <c r="D139" s="176" t="s">
        <v>228</v>
      </c>
      <c r="E139" s="176">
        <v>0.04</v>
      </c>
    </row>
    <row r="140" spans="2:5" ht="20.100000000000001" customHeight="1" x14ac:dyDescent="0.15">
      <c r="B140" s="176">
        <v>10</v>
      </c>
      <c r="C140" s="176" t="s">
        <v>229</v>
      </c>
      <c r="D140" s="176" t="s">
        <v>230</v>
      </c>
      <c r="E140" s="176">
        <v>4.8000000000000001E-2</v>
      </c>
    </row>
    <row r="141" spans="2:5" ht="20.100000000000001" customHeight="1" x14ac:dyDescent="0.15">
      <c r="B141" s="176">
        <v>12</v>
      </c>
      <c r="C141" s="176" t="s">
        <v>185</v>
      </c>
      <c r="D141" s="176" t="s">
        <v>231</v>
      </c>
      <c r="E141" s="176">
        <v>5.5E-2</v>
      </c>
    </row>
    <row r="142" spans="2:5" ht="28.5" customHeight="1" x14ac:dyDescent="0.15">
      <c r="B142" s="224" t="s">
        <v>232</v>
      </c>
      <c r="C142" s="224"/>
      <c r="D142" s="224"/>
      <c r="E142" s="224"/>
    </row>
  </sheetData>
  <mergeCells count="81">
    <mergeCell ref="B10:J11"/>
    <mergeCell ref="B1:J9"/>
    <mergeCell ref="C123:D123"/>
    <mergeCell ref="C124:D124"/>
    <mergeCell ref="B127:E127"/>
    <mergeCell ref="B142:E142"/>
    <mergeCell ref="B59:B66"/>
    <mergeCell ref="B67:B68"/>
    <mergeCell ref="E94:E95"/>
    <mergeCell ref="E103:E105"/>
    <mergeCell ref="C118:D118"/>
    <mergeCell ref="C119:D119"/>
    <mergeCell ref="C120:D120"/>
    <mergeCell ref="C121:D121"/>
    <mergeCell ref="C122:D122"/>
    <mergeCell ref="C114:D114"/>
    <mergeCell ref="F114:G114"/>
    <mergeCell ref="C115:D115"/>
    <mergeCell ref="C116:D116"/>
    <mergeCell ref="C117:D117"/>
    <mergeCell ref="C112:D112"/>
    <mergeCell ref="F112:G112"/>
    <mergeCell ref="I112:J112"/>
    <mergeCell ref="C113:D113"/>
    <mergeCell ref="F113:G113"/>
    <mergeCell ref="C110:D110"/>
    <mergeCell ref="F110:G110"/>
    <mergeCell ref="I110:J110"/>
    <mergeCell ref="C111:D111"/>
    <mergeCell ref="F111:G111"/>
    <mergeCell ref="I111:J111"/>
    <mergeCell ref="F107:G107"/>
    <mergeCell ref="I107:J107"/>
    <mergeCell ref="F108:G108"/>
    <mergeCell ref="I108:J108"/>
    <mergeCell ref="B109:D109"/>
    <mergeCell ref="F109:G109"/>
    <mergeCell ref="I109:J109"/>
    <mergeCell ref="C105:D105"/>
    <mergeCell ref="F105:J105"/>
    <mergeCell ref="C106:D106"/>
    <mergeCell ref="F106:G106"/>
    <mergeCell ref="I106:J106"/>
    <mergeCell ref="E102:J102"/>
    <mergeCell ref="C103:D103"/>
    <mergeCell ref="F103:J103"/>
    <mergeCell ref="C104:D104"/>
    <mergeCell ref="F104:G104"/>
    <mergeCell ref="I104:J104"/>
    <mergeCell ref="C98:D98"/>
    <mergeCell ref="C99:D99"/>
    <mergeCell ref="C100:D100"/>
    <mergeCell ref="C101:D101"/>
    <mergeCell ref="C102:D102"/>
    <mergeCell ref="C94:D94"/>
    <mergeCell ref="F94:I94"/>
    <mergeCell ref="C95:D95"/>
    <mergeCell ref="C96:D96"/>
    <mergeCell ref="C97:D97"/>
    <mergeCell ref="G96:G99"/>
    <mergeCell ref="H96:H99"/>
    <mergeCell ref="I96:I99"/>
    <mergeCell ref="B43:D43"/>
    <mergeCell ref="N53:S53"/>
    <mergeCell ref="I80:J80"/>
    <mergeCell ref="H85:J85"/>
    <mergeCell ref="B93:D93"/>
    <mergeCell ref="E93:I93"/>
    <mergeCell ref="C15:D15"/>
    <mergeCell ref="F15:G15"/>
    <mergeCell ref="I15:J15"/>
    <mergeCell ref="B17:D17"/>
    <mergeCell ref="E17:G17"/>
    <mergeCell ref="H17:J17"/>
    <mergeCell ref="B12:J12"/>
    <mergeCell ref="C13:D13"/>
    <mergeCell ref="F13:G13"/>
    <mergeCell ref="I13:J13"/>
    <mergeCell ref="C14:D14"/>
    <mergeCell ref="F14:G14"/>
    <mergeCell ref="I14:J14"/>
  </mergeCells>
  <phoneticPr fontId="39" type="noConversion"/>
  <pageMargins left="0.84" right="0.45" top="0.34" bottom="0.49" header="0.12" footer="0.49"/>
  <pageSetup paperSize="9" scale="67" orientation="portrait"/>
  <headerFooter scaleWithDoc="0" alignWithMargin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I19"/>
  <sheetViews>
    <sheetView showGridLines="0" topLeftCell="A28" zoomScale="90" zoomScaleNormal="90" workbookViewId="0">
      <selection activeCell="O25" sqref="O25"/>
    </sheetView>
  </sheetViews>
  <sheetFormatPr defaultColWidth="8.625" defaultRowHeight="14.25" x14ac:dyDescent="0.15"/>
  <cols>
    <col min="1" max="1" width="3.75" style="1" customWidth="1"/>
    <col min="2" max="2" width="11.875" style="1" customWidth="1"/>
    <col min="3" max="3" width="16" style="1" customWidth="1"/>
    <col min="4" max="4" width="10.875" style="1" customWidth="1"/>
    <col min="5" max="6" width="11.625" style="1" customWidth="1"/>
    <col min="7" max="8" width="19.875" style="1" customWidth="1"/>
    <col min="9" max="9" width="14.625" style="1" customWidth="1"/>
    <col min="10" max="10" width="15" style="1" customWidth="1"/>
    <col min="11" max="14" width="9" style="1"/>
    <col min="15" max="15" width="18.125" style="1" customWidth="1"/>
    <col min="16" max="16" width="15.75" style="1" customWidth="1"/>
    <col min="17" max="17" width="10.5" style="1" customWidth="1"/>
    <col min="18" max="18" width="10.375" style="1" customWidth="1"/>
    <col min="19" max="23" width="9" style="1"/>
    <col min="24" max="24" width="10.25" style="7" customWidth="1"/>
    <col min="25" max="25" width="12.625" style="1" customWidth="1"/>
    <col min="26" max="26" width="9" style="1"/>
    <col min="27" max="27" width="10.75" style="1" customWidth="1"/>
    <col min="28" max="32" width="9" style="1"/>
    <col min="33" max="34" width="9" style="1" customWidth="1"/>
    <col min="35" max="35" width="12.625" style="1" customWidth="1"/>
    <col min="36" max="65" width="9" style="1"/>
    <col min="66" max="16384" width="8.625" style="1"/>
  </cols>
  <sheetData>
    <row r="1" spans="1:35" ht="18" customHeight="1" x14ac:dyDescent="0.15">
      <c r="A1" s="260" t="s">
        <v>233</v>
      </c>
      <c r="B1" s="261"/>
      <c r="C1" s="261"/>
      <c r="D1" s="261"/>
      <c r="E1" s="261"/>
      <c r="F1" s="261"/>
      <c r="G1" s="261"/>
      <c r="H1" s="261"/>
      <c r="I1" s="261"/>
      <c r="J1" s="261"/>
      <c r="K1" s="261"/>
      <c r="L1" s="261"/>
      <c r="M1" s="261"/>
      <c r="N1" s="261"/>
      <c r="O1" s="261"/>
      <c r="P1" s="8"/>
      <c r="Q1" s="8"/>
      <c r="R1" s="8"/>
      <c r="S1" s="23"/>
    </row>
    <row r="2" spans="1:35" ht="18" customHeight="1" x14ac:dyDescent="0.15">
      <c r="A2" s="262"/>
      <c r="B2" s="263"/>
      <c r="C2" s="263"/>
      <c r="D2" s="263"/>
      <c r="E2" s="263"/>
      <c r="F2" s="263"/>
      <c r="G2" s="263"/>
      <c r="H2" s="263"/>
      <c r="I2" s="263"/>
      <c r="J2" s="263"/>
      <c r="K2" s="263"/>
      <c r="L2" s="263"/>
      <c r="M2" s="263"/>
      <c r="N2" s="263"/>
      <c r="O2" s="263"/>
      <c r="P2" s="9"/>
      <c r="Q2" s="9"/>
      <c r="R2" s="9"/>
      <c r="S2" s="24"/>
    </row>
    <row r="4" spans="1:35" ht="24.95" customHeight="1" x14ac:dyDescent="0.15">
      <c r="B4" s="257" t="s">
        <v>234</v>
      </c>
      <c r="C4" s="257"/>
      <c r="D4" s="257"/>
      <c r="E4" s="257"/>
      <c r="F4" s="257"/>
      <c r="G4" s="257"/>
      <c r="H4" s="257"/>
      <c r="I4" s="257"/>
      <c r="J4" s="257"/>
    </row>
    <row r="5" spans="1:35" ht="20.25" x14ac:dyDescent="0.15">
      <c r="B5" s="10"/>
      <c r="C5" s="10"/>
      <c r="D5" s="10"/>
      <c r="E5" s="10"/>
      <c r="F5" s="10"/>
      <c r="G5" s="10"/>
      <c r="H5" s="10"/>
      <c r="I5" s="10"/>
      <c r="J5" s="10"/>
      <c r="K5" s="10"/>
      <c r="L5" s="10"/>
      <c r="M5" s="10"/>
      <c r="N5" s="10"/>
      <c r="O5" s="10"/>
      <c r="P5" s="10"/>
      <c r="Q5" s="10"/>
      <c r="R5" s="10"/>
      <c r="S5" s="258"/>
      <c r="T5" s="258"/>
      <c r="U5" s="258"/>
      <c r="V5" s="258"/>
      <c r="W5" s="258"/>
      <c r="X5" s="258"/>
      <c r="Y5" s="258"/>
      <c r="Z5" s="258"/>
      <c r="AA5" s="258"/>
      <c r="AB5" s="258"/>
      <c r="AC5" s="258"/>
      <c r="AD5" s="259" t="s">
        <v>235</v>
      </c>
      <c r="AE5" s="259"/>
      <c r="AF5" s="259"/>
      <c r="AG5" s="259"/>
      <c r="AH5" s="259"/>
      <c r="AI5" s="259"/>
    </row>
    <row r="6" spans="1:35" s="6" customFormat="1" ht="42.75" x14ac:dyDescent="0.15">
      <c r="B6" s="11" t="s">
        <v>236</v>
      </c>
      <c r="C6" s="11"/>
      <c r="D6" s="11" t="s">
        <v>237</v>
      </c>
      <c r="E6" s="12" t="s">
        <v>26</v>
      </c>
      <c r="F6" s="12" t="s">
        <v>238</v>
      </c>
      <c r="G6" s="12" t="s">
        <v>239</v>
      </c>
      <c r="H6" s="12" t="s">
        <v>240</v>
      </c>
      <c r="I6" s="12" t="s">
        <v>241</v>
      </c>
      <c r="J6" s="12" t="s">
        <v>242</v>
      </c>
      <c r="K6" s="12" t="s">
        <v>243</v>
      </c>
      <c r="L6" s="12" t="s">
        <v>244</v>
      </c>
      <c r="M6" s="11" t="s">
        <v>245</v>
      </c>
      <c r="N6" s="11" t="s">
        <v>246</v>
      </c>
      <c r="O6" s="11" t="s">
        <v>247</v>
      </c>
      <c r="P6" s="11" t="s">
        <v>248</v>
      </c>
      <c r="Q6" s="11" t="s">
        <v>249</v>
      </c>
      <c r="R6" s="11" t="s">
        <v>250</v>
      </c>
      <c r="S6" s="11" t="s">
        <v>251</v>
      </c>
      <c r="T6" s="11" t="s">
        <v>252</v>
      </c>
      <c r="U6" s="11" t="s">
        <v>253</v>
      </c>
      <c r="V6" s="11" t="s">
        <v>254</v>
      </c>
      <c r="W6" s="11" t="s">
        <v>255</v>
      </c>
      <c r="X6" s="25" t="s">
        <v>256</v>
      </c>
      <c r="Y6" s="11" t="s">
        <v>257</v>
      </c>
      <c r="Z6" s="11" t="s">
        <v>258</v>
      </c>
      <c r="AA6" s="11" t="s">
        <v>259</v>
      </c>
      <c r="AB6" s="11" t="s">
        <v>260</v>
      </c>
      <c r="AC6" s="11" t="s">
        <v>261</v>
      </c>
      <c r="AD6" s="29" t="s">
        <v>262</v>
      </c>
      <c r="AE6" s="29" t="s">
        <v>263</v>
      </c>
      <c r="AF6" s="29" t="s">
        <v>264</v>
      </c>
      <c r="AG6" s="29" t="s">
        <v>265</v>
      </c>
      <c r="AH6" s="29" t="s">
        <v>266</v>
      </c>
      <c r="AI6" s="29" t="s">
        <v>267</v>
      </c>
    </row>
    <row r="7" spans="1:35" ht="18.75" x14ac:dyDescent="0.15">
      <c r="B7" s="11" t="s">
        <v>268</v>
      </c>
      <c r="C7" s="11" t="s">
        <v>269</v>
      </c>
      <c r="D7" s="13"/>
      <c r="E7" s="14" t="s">
        <v>22</v>
      </c>
      <c r="F7" s="14" t="s">
        <v>270</v>
      </c>
      <c r="G7" s="14" t="s">
        <v>271</v>
      </c>
      <c r="H7" s="14" t="s">
        <v>271</v>
      </c>
      <c r="I7" s="14" t="s">
        <v>272</v>
      </c>
      <c r="J7" s="14" t="s">
        <v>22</v>
      </c>
      <c r="K7" s="14" t="s">
        <v>22</v>
      </c>
      <c r="L7" s="14" t="s">
        <v>22</v>
      </c>
      <c r="M7" s="21" t="s">
        <v>273</v>
      </c>
      <c r="N7" s="21" t="s">
        <v>274</v>
      </c>
      <c r="O7" s="21" t="s">
        <v>60</v>
      </c>
      <c r="P7" s="21" t="s">
        <v>270</v>
      </c>
      <c r="Q7" s="21" t="s">
        <v>272</v>
      </c>
      <c r="R7" s="21" t="s">
        <v>275</v>
      </c>
      <c r="S7" s="21" t="s">
        <v>276</v>
      </c>
      <c r="T7" s="13" t="s">
        <v>277</v>
      </c>
      <c r="U7" s="21" t="s">
        <v>22</v>
      </c>
      <c r="V7" s="21" t="s">
        <v>22</v>
      </c>
      <c r="W7" s="21" t="s">
        <v>22</v>
      </c>
      <c r="X7" s="26" t="s">
        <v>278</v>
      </c>
      <c r="Y7" s="21" t="s">
        <v>22</v>
      </c>
      <c r="Z7" s="21" t="s">
        <v>22</v>
      </c>
      <c r="AA7" s="21" t="s">
        <v>22</v>
      </c>
      <c r="AB7" s="21" t="s">
        <v>22</v>
      </c>
      <c r="AC7" s="21" t="s">
        <v>274</v>
      </c>
      <c r="AD7" s="13"/>
      <c r="AE7" s="13"/>
      <c r="AF7" s="13"/>
      <c r="AG7" s="21" t="s">
        <v>279</v>
      </c>
      <c r="AH7" s="13" t="s">
        <v>279</v>
      </c>
      <c r="AI7" s="21" t="s">
        <v>280</v>
      </c>
    </row>
    <row r="8" spans="1:35" x14ac:dyDescent="0.15">
      <c r="B8" s="15" t="s">
        <v>281</v>
      </c>
      <c r="C8" s="15" t="s">
        <v>282</v>
      </c>
      <c r="D8" s="15" t="s">
        <v>283</v>
      </c>
      <c r="E8" s="16">
        <v>90</v>
      </c>
      <c r="F8" s="17">
        <v>14</v>
      </c>
      <c r="G8" s="18">
        <v>145</v>
      </c>
      <c r="H8" s="18">
        <v>346</v>
      </c>
      <c r="I8" s="17">
        <v>8</v>
      </c>
      <c r="J8" s="18">
        <v>230</v>
      </c>
      <c r="K8" s="20">
        <v>320</v>
      </c>
      <c r="L8" s="17" t="s">
        <v>284</v>
      </c>
      <c r="M8" s="22">
        <v>129</v>
      </c>
      <c r="N8" s="22">
        <v>220</v>
      </c>
      <c r="O8" s="22">
        <v>112</v>
      </c>
      <c r="P8" s="22">
        <v>14</v>
      </c>
      <c r="Q8" s="15"/>
      <c r="R8" s="22"/>
      <c r="S8" s="27"/>
      <c r="T8" s="15"/>
      <c r="U8" s="15"/>
      <c r="V8" s="15">
        <v>429</v>
      </c>
      <c r="W8" s="15">
        <v>429</v>
      </c>
      <c r="X8" s="28"/>
      <c r="Y8" s="15"/>
      <c r="Z8" s="22"/>
      <c r="AA8" s="22"/>
      <c r="AB8" s="30">
        <v>115</v>
      </c>
      <c r="AC8" s="30"/>
      <c r="AD8" s="31"/>
      <c r="AE8" s="15"/>
      <c r="AF8" s="15"/>
      <c r="AG8" s="15"/>
      <c r="AH8" s="15"/>
      <c r="AI8" s="30"/>
    </row>
    <row r="9" spans="1:35" x14ac:dyDescent="0.15">
      <c r="B9" s="15" t="s">
        <v>281</v>
      </c>
      <c r="C9" s="15" t="s">
        <v>285</v>
      </c>
      <c r="D9" s="15" t="s">
        <v>283</v>
      </c>
      <c r="E9" s="16">
        <v>100</v>
      </c>
      <c r="F9" s="17">
        <v>14</v>
      </c>
      <c r="G9" s="19">
        <v>145</v>
      </c>
      <c r="H9" s="19">
        <v>345</v>
      </c>
      <c r="I9" s="17">
        <v>8</v>
      </c>
      <c r="J9" s="18">
        <v>235</v>
      </c>
      <c r="K9" s="20">
        <v>340</v>
      </c>
      <c r="L9" s="17" t="s">
        <v>284</v>
      </c>
      <c r="M9" s="22">
        <v>116</v>
      </c>
      <c r="N9" s="22">
        <v>270</v>
      </c>
      <c r="O9" s="22">
        <v>137</v>
      </c>
      <c r="P9" s="22">
        <v>14</v>
      </c>
      <c r="Q9" s="15"/>
      <c r="R9" s="22"/>
      <c r="S9" s="27"/>
      <c r="T9" s="15"/>
      <c r="U9" s="15"/>
      <c r="V9" s="15">
        <v>460</v>
      </c>
      <c r="W9" s="15">
        <v>460</v>
      </c>
      <c r="X9" s="28"/>
      <c r="Y9" s="15"/>
      <c r="Z9" s="22"/>
      <c r="AA9" s="22"/>
      <c r="AB9" s="30">
        <v>135</v>
      </c>
      <c r="AC9" s="30"/>
      <c r="AD9" s="31"/>
      <c r="AE9" s="15"/>
      <c r="AF9" s="15"/>
      <c r="AG9" s="15"/>
      <c r="AH9" s="15"/>
      <c r="AI9" s="30"/>
    </row>
    <row r="10" spans="1:35" x14ac:dyDescent="0.15">
      <c r="B10" s="15" t="s">
        <v>281</v>
      </c>
      <c r="C10" s="15" t="s">
        <v>286</v>
      </c>
      <c r="D10" s="15" t="s">
        <v>283</v>
      </c>
      <c r="E10" s="16">
        <v>100</v>
      </c>
      <c r="F10" s="17">
        <v>14</v>
      </c>
      <c r="G10" s="19">
        <v>145</v>
      </c>
      <c r="H10" s="19">
        <v>345</v>
      </c>
      <c r="I10" s="17">
        <v>8</v>
      </c>
      <c r="J10" s="18">
        <v>257</v>
      </c>
      <c r="K10" s="20">
        <v>370</v>
      </c>
      <c r="L10" s="17" t="s">
        <v>287</v>
      </c>
      <c r="M10" s="22">
        <v>209</v>
      </c>
      <c r="N10" s="22">
        <v>270</v>
      </c>
      <c r="O10" s="22">
        <v>95</v>
      </c>
      <c r="P10" s="22">
        <v>14</v>
      </c>
      <c r="Q10" s="15"/>
      <c r="R10" s="22"/>
      <c r="S10" s="27"/>
      <c r="T10" s="15"/>
      <c r="U10" s="15"/>
      <c r="V10" s="15">
        <v>510</v>
      </c>
      <c r="W10" s="15">
        <v>510</v>
      </c>
      <c r="X10" s="28"/>
      <c r="Y10" s="15"/>
      <c r="Z10" s="22"/>
      <c r="AA10" s="22"/>
      <c r="AB10" s="30">
        <v>140</v>
      </c>
      <c r="AC10" s="30"/>
      <c r="AD10" s="31"/>
      <c r="AE10" s="15"/>
      <c r="AF10" s="15"/>
      <c r="AG10" s="15"/>
      <c r="AH10" s="15"/>
      <c r="AI10" s="30"/>
    </row>
    <row r="11" spans="1:35" x14ac:dyDescent="0.15">
      <c r="B11" s="15" t="s">
        <v>281</v>
      </c>
      <c r="C11" s="15" t="s">
        <v>288</v>
      </c>
      <c r="D11" s="15" t="s">
        <v>283</v>
      </c>
      <c r="E11" s="16">
        <v>110</v>
      </c>
      <c r="F11" s="17">
        <v>14</v>
      </c>
      <c r="G11" s="19">
        <v>145</v>
      </c>
      <c r="H11" s="19">
        <v>348</v>
      </c>
      <c r="I11" s="17">
        <v>8</v>
      </c>
      <c r="J11" s="18">
        <v>290</v>
      </c>
      <c r="K11" s="20">
        <v>400</v>
      </c>
      <c r="L11" s="17" t="s">
        <v>287</v>
      </c>
      <c r="M11" s="22">
        <v>239</v>
      </c>
      <c r="N11" s="22">
        <v>330</v>
      </c>
      <c r="O11" s="22">
        <v>116</v>
      </c>
      <c r="P11" s="22">
        <v>14</v>
      </c>
      <c r="Q11" s="15"/>
      <c r="R11" s="22"/>
      <c r="S11" s="27"/>
      <c r="T11" s="15"/>
      <c r="U11" s="15"/>
      <c r="V11" s="15">
        <v>560</v>
      </c>
      <c r="W11" s="15">
        <v>560</v>
      </c>
      <c r="X11" s="28"/>
      <c r="Y11" s="15"/>
      <c r="Z11" s="22"/>
      <c r="AA11" s="22"/>
      <c r="AB11" s="30">
        <v>140</v>
      </c>
      <c r="AC11" s="30"/>
      <c r="AD11" s="31"/>
      <c r="AE11" s="15"/>
      <c r="AF11" s="15"/>
      <c r="AG11" s="15"/>
      <c r="AH11" s="15"/>
      <c r="AI11" s="30"/>
    </row>
    <row r="12" spans="1:35" x14ac:dyDescent="0.15">
      <c r="B12" s="15" t="s">
        <v>281</v>
      </c>
      <c r="C12" s="15" t="s">
        <v>289</v>
      </c>
      <c r="D12" s="15" t="s">
        <v>283</v>
      </c>
      <c r="E12" s="16">
        <v>120</v>
      </c>
      <c r="F12" s="16">
        <v>14</v>
      </c>
      <c r="G12" s="20">
        <v>145</v>
      </c>
      <c r="H12" s="20"/>
      <c r="I12" s="16">
        <v>8</v>
      </c>
      <c r="J12" s="20">
        <v>354</v>
      </c>
      <c r="K12" s="20">
        <v>500</v>
      </c>
      <c r="L12" s="16" t="s">
        <v>290</v>
      </c>
      <c r="M12" s="22">
        <v>490</v>
      </c>
      <c r="N12" s="22">
        <v>410</v>
      </c>
      <c r="O12" s="22">
        <v>106</v>
      </c>
      <c r="P12" s="22">
        <v>14</v>
      </c>
      <c r="Q12" s="15"/>
      <c r="R12" s="22">
        <v>4.7</v>
      </c>
      <c r="S12" s="27">
        <v>400</v>
      </c>
      <c r="T12" s="15">
        <v>4</v>
      </c>
      <c r="U12" s="15">
        <v>130</v>
      </c>
      <c r="V12" s="15">
        <v>669</v>
      </c>
      <c r="W12" s="15">
        <v>669</v>
      </c>
      <c r="X12" s="28"/>
      <c r="Y12" s="15"/>
      <c r="Z12" s="22">
        <v>550</v>
      </c>
      <c r="AA12" s="22" t="s">
        <v>291</v>
      </c>
      <c r="AB12" s="30">
        <v>200</v>
      </c>
      <c r="AC12" s="30"/>
      <c r="AD12" s="31"/>
      <c r="AE12" s="15"/>
      <c r="AF12" s="15"/>
      <c r="AG12" s="15"/>
      <c r="AH12" s="15"/>
      <c r="AI12" s="30"/>
    </row>
    <row r="13" spans="1:35" x14ac:dyDescent="0.15">
      <c r="B13" s="15" t="s">
        <v>281</v>
      </c>
      <c r="C13" s="15" t="s">
        <v>292</v>
      </c>
      <c r="D13" s="15" t="s">
        <v>283</v>
      </c>
      <c r="E13" s="16">
        <v>140</v>
      </c>
      <c r="F13" s="16">
        <v>14</v>
      </c>
      <c r="G13" s="20">
        <v>153</v>
      </c>
      <c r="H13" s="20"/>
      <c r="I13" s="16">
        <v>8</v>
      </c>
      <c r="J13" s="20">
        <v>510</v>
      </c>
      <c r="K13" s="20">
        <v>600</v>
      </c>
      <c r="L13" s="16" t="s">
        <v>293</v>
      </c>
      <c r="M13" s="22">
        <v>655</v>
      </c>
      <c r="N13" s="22">
        <v>590</v>
      </c>
      <c r="O13" s="22">
        <v>117</v>
      </c>
      <c r="P13" s="22">
        <v>14</v>
      </c>
      <c r="Q13" s="15"/>
      <c r="R13" s="22">
        <v>7.2</v>
      </c>
      <c r="S13" s="27">
        <v>630</v>
      </c>
      <c r="T13" s="15">
        <v>4</v>
      </c>
      <c r="U13" s="15">
        <v>160</v>
      </c>
      <c r="V13" s="15">
        <v>750</v>
      </c>
      <c r="W13" s="15">
        <v>750</v>
      </c>
      <c r="X13" s="28"/>
      <c r="Y13" s="15"/>
      <c r="Z13" s="22">
        <v>650</v>
      </c>
      <c r="AA13" s="22" t="s">
        <v>294</v>
      </c>
      <c r="AB13" s="30">
        <v>250</v>
      </c>
      <c r="AC13" s="30"/>
      <c r="AD13" s="31"/>
      <c r="AE13" s="15"/>
      <c r="AF13" s="15"/>
      <c r="AG13" s="15"/>
      <c r="AH13" s="15"/>
      <c r="AI13" s="30"/>
    </row>
    <row r="14" spans="1:35" x14ac:dyDescent="0.15">
      <c r="B14" s="15" t="s">
        <v>281</v>
      </c>
      <c r="C14" s="15" t="s">
        <v>295</v>
      </c>
      <c r="D14" s="15" t="s">
        <v>283</v>
      </c>
      <c r="E14" s="16">
        <v>150</v>
      </c>
      <c r="F14" s="16">
        <v>14</v>
      </c>
      <c r="G14" s="20">
        <v>135</v>
      </c>
      <c r="H14" s="20"/>
      <c r="I14" s="16">
        <v>8</v>
      </c>
      <c r="J14" s="20">
        <v>483</v>
      </c>
      <c r="K14" s="20">
        <v>760</v>
      </c>
      <c r="L14" s="16" t="s">
        <v>296</v>
      </c>
      <c r="M14" s="22">
        <v>940</v>
      </c>
      <c r="N14" s="22">
        <v>680</v>
      </c>
      <c r="O14" s="22">
        <v>106</v>
      </c>
      <c r="P14" s="22">
        <v>14</v>
      </c>
      <c r="Q14" s="15"/>
      <c r="R14" s="22">
        <v>11.2</v>
      </c>
      <c r="S14" s="27">
        <v>800</v>
      </c>
      <c r="T14" s="15">
        <v>4</v>
      </c>
      <c r="U14" s="15">
        <v>180</v>
      </c>
      <c r="V14" s="15">
        <v>910</v>
      </c>
      <c r="W14" s="15">
        <v>910</v>
      </c>
      <c r="X14" s="28"/>
      <c r="Y14" s="15"/>
      <c r="Z14" s="22">
        <v>760</v>
      </c>
      <c r="AA14" s="22" t="s">
        <v>297</v>
      </c>
      <c r="AB14" s="30">
        <v>295</v>
      </c>
      <c r="AC14" s="30"/>
      <c r="AD14" s="31"/>
      <c r="AE14" s="15"/>
      <c r="AF14" s="15"/>
      <c r="AG14" s="15"/>
      <c r="AH14" s="15"/>
      <c r="AI14" s="30"/>
    </row>
    <row r="15" spans="1:35" x14ac:dyDescent="0.15">
      <c r="B15" s="15" t="s">
        <v>281</v>
      </c>
      <c r="C15" s="15" t="s">
        <v>298</v>
      </c>
      <c r="D15" s="15" t="s">
        <v>283</v>
      </c>
      <c r="E15" s="16">
        <v>160</v>
      </c>
      <c r="F15" s="16">
        <v>14</v>
      </c>
      <c r="G15" s="20">
        <v>154</v>
      </c>
      <c r="H15" s="20"/>
      <c r="I15" s="16">
        <v>8</v>
      </c>
      <c r="J15" s="20">
        <v>483</v>
      </c>
      <c r="K15" s="20">
        <v>760</v>
      </c>
      <c r="L15" s="16" t="s">
        <v>296</v>
      </c>
      <c r="M15" s="22">
        <v>1187</v>
      </c>
      <c r="N15" s="22">
        <v>775</v>
      </c>
      <c r="O15" s="22">
        <v>98</v>
      </c>
      <c r="P15" s="22">
        <v>14</v>
      </c>
      <c r="Q15" s="15"/>
      <c r="R15" s="22">
        <v>13.9</v>
      </c>
      <c r="S15" s="27">
        <v>900</v>
      </c>
      <c r="T15" s="15">
        <v>4</v>
      </c>
      <c r="U15" s="15">
        <v>190</v>
      </c>
      <c r="V15" s="15">
        <v>930</v>
      </c>
      <c r="W15" s="15">
        <v>930</v>
      </c>
      <c r="X15" s="28"/>
      <c r="Y15" s="15"/>
      <c r="Z15" s="22">
        <v>800</v>
      </c>
      <c r="AA15" s="22" t="s">
        <v>299</v>
      </c>
      <c r="AB15" s="30">
        <v>300</v>
      </c>
      <c r="AC15" s="30"/>
      <c r="AD15" s="31"/>
      <c r="AE15" s="15"/>
      <c r="AF15" s="15"/>
      <c r="AG15" s="15"/>
      <c r="AH15" s="15"/>
      <c r="AI15" s="30"/>
    </row>
    <row r="16" spans="1:35" x14ac:dyDescent="0.15">
      <c r="B16" s="15" t="s">
        <v>281</v>
      </c>
      <c r="C16" s="15" t="s">
        <v>300</v>
      </c>
      <c r="D16" s="15" t="s">
        <v>283</v>
      </c>
      <c r="E16" s="16">
        <v>180</v>
      </c>
      <c r="F16" s="16">
        <v>16</v>
      </c>
      <c r="G16" s="20">
        <v>152</v>
      </c>
      <c r="H16" s="20"/>
      <c r="I16" s="16">
        <v>8</v>
      </c>
      <c r="J16" s="20">
        <v>483</v>
      </c>
      <c r="K16" s="20"/>
      <c r="L16" s="16" t="s">
        <v>301</v>
      </c>
      <c r="M16" s="22">
        <v>1142</v>
      </c>
      <c r="N16" s="22">
        <v>970</v>
      </c>
      <c r="O16" s="22"/>
      <c r="P16" s="22">
        <v>16</v>
      </c>
      <c r="Q16" s="15"/>
      <c r="R16" s="22">
        <v>16.7</v>
      </c>
      <c r="S16" s="27">
        <v>1000</v>
      </c>
      <c r="T16" s="15">
        <v>4</v>
      </c>
      <c r="U16" s="15">
        <v>210</v>
      </c>
      <c r="V16" s="15">
        <v>890</v>
      </c>
      <c r="W16" s="15">
        <v>910</v>
      </c>
      <c r="X16" s="28"/>
      <c r="Y16" s="15"/>
      <c r="Z16" s="22">
        <v>750</v>
      </c>
      <c r="AA16" s="22" t="s">
        <v>302</v>
      </c>
      <c r="AB16" s="30">
        <v>300</v>
      </c>
      <c r="AC16" s="30"/>
      <c r="AD16" s="31"/>
      <c r="AE16" s="15"/>
      <c r="AF16" s="15"/>
      <c r="AG16" s="15"/>
      <c r="AH16" s="15"/>
      <c r="AI16" s="30"/>
    </row>
    <row r="17" spans="2:35" x14ac:dyDescent="0.15">
      <c r="B17" s="15" t="s">
        <v>281</v>
      </c>
      <c r="C17" s="15" t="s">
        <v>303</v>
      </c>
      <c r="D17" s="15" t="s">
        <v>283</v>
      </c>
      <c r="E17" s="16">
        <v>170</v>
      </c>
      <c r="F17" s="16">
        <v>16</v>
      </c>
      <c r="G17" s="20">
        <v>136</v>
      </c>
      <c r="H17" s="20"/>
      <c r="I17" s="16">
        <v>8</v>
      </c>
      <c r="J17" s="20">
        <v>525</v>
      </c>
      <c r="K17" s="20"/>
      <c r="L17" s="16" t="s">
        <v>301</v>
      </c>
      <c r="M17" s="22">
        <v>1305</v>
      </c>
      <c r="N17" s="22">
        <v>865</v>
      </c>
      <c r="O17" s="22"/>
      <c r="P17" s="22">
        <v>16</v>
      </c>
      <c r="Q17" s="15"/>
      <c r="R17" s="22">
        <v>16.899999999999999</v>
      </c>
      <c r="S17" s="27">
        <v>1000</v>
      </c>
      <c r="T17" s="15">
        <v>4</v>
      </c>
      <c r="U17" s="15">
        <v>200</v>
      </c>
      <c r="V17" s="15">
        <v>1030</v>
      </c>
      <c r="W17" s="15">
        <v>1030</v>
      </c>
      <c r="X17" s="28"/>
      <c r="Y17" s="15"/>
      <c r="Z17" s="22">
        <v>880</v>
      </c>
      <c r="AA17" s="22" t="s">
        <v>304</v>
      </c>
      <c r="AB17" s="30">
        <v>300</v>
      </c>
      <c r="AC17" s="30"/>
      <c r="AD17" s="31"/>
      <c r="AE17" s="15"/>
      <c r="AF17" s="15"/>
      <c r="AG17" s="15"/>
      <c r="AH17" s="15"/>
      <c r="AI17" s="30"/>
    </row>
    <row r="18" spans="2:35" x14ac:dyDescent="0.15">
      <c r="B18" s="15" t="s">
        <v>281</v>
      </c>
      <c r="C18" s="15" t="s">
        <v>305</v>
      </c>
      <c r="D18" s="15" t="s">
        <v>283</v>
      </c>
      <c r="E18" s="16">
        <v>200</v>
      </c>
      <c r="F18" s="16">
        <v>16</v>
      </c>
      <c r="G18" s="20">
        <v>137</v>
      </c>
      <c r="H18" s="20"/>
      <c r="I18" s="16">
        <v>8</v>
      </c>
      <c r="J18" s="20">
        <v>590</v>
      </c>
      <c r="K18" s="20"/>
      <c r="L18" s="16" t="s">
        <v>301</v>
      </c>
      <c r="M18" s="22">
        <v>1785</v>
      </c>
      <c r="N18" s="22">
        <v>1075</v>
      </c>
      <c r="O18" s="22"/>
      <c r="P18" s="22">
        <v>16</v>
      </c>
      <c r="Q18" s="15"/>
      <c r="R18" s="22">
        <v>25.4</v>
      </c>
      <c r="S18" s="27">
        <v>1250</v>
      </c>
      <c r="T18" s="15">
        <v>4</v>
      </c>
      <c r="U18" s="15">
        <v>230</v>
      </c>
      <c r="V18" s="15">
        <v>1100</v>
      </c>
      <c r="W18" s="15">
        <v>1100</v>
      </c>
      <c r="X18" s="28"/>
      <c r="Y18" s="15"/>
      <c r="Z18" s="22">
        <v>1000</v>
      </c>
      <c r="AA18" s="22" t="s">
        <v>306</v>
      </c>
      <c r="AB18" s="30">
        <v>320</v>
      </c>
      <c r="AC18" s="30"/>
      <c r="AD18" s="31"/>
      <c r="AE18" s="15"/>
      <c r="AF18" s="15"/>
      <c r="AG18" s="15"/>
      <c r="AH18" s="15"/>
      <c r="AI18" s="30"/>
    </row>
    <row r="19" spans="2:35" x14ac:dyDescent="0.15">
      <c r="B19" s="15" t="s">
        <v>281</v>
      </c>
      <c r="C19" s="15" t="s">
        <v>307</v>
      </c>
      <c r="D19" s="15" t="s">
        <v>283</v>
      </c>
      <c r="E19" s="16">
        <v>210</v>
      </c>
      <c r="F19" s="16">
        <v>16</v>
      </c>
      <c r="G19" s="20">
        <v>137</v>
      </c>
      <c r="H19" s="20"/>
      <c r="I19" s="16">
        <v>8</v>
      </c>
      <c r="J19" s="20">
        <v>600</v>
      </c>
      <c r="K19" s="20"/>
      <c r="L19" s="16" t="s">
        <v>308</v>
      </c>
      <c r="M19" s="22">
        <v>2190</v>
      </c>
      <c r="N19" s="22">
        <v>1285</v>
      </c>
      <c r="O19" s="22"/>
      <c r="P19" s="22">
        <v>16</v>
      </c>
      <c r="Q19" s="15"/>
      <c r="R19" s="22">
        <v>32</v>
      </c>
      <c r="S19" s="27">
        <v>1600</v>
      </c>
      <c r="T19" s="15">
        <v>4</v>
      </c>
      <c r="U19" s="15">
        <v>250</v>
      </c>
      <c r="V19" s="15">
        <v>1180</v>
      </c>
      <c r="W19" s="15">
        <v>1180</v>
      </c>
      <c r="X19" s="28"/>
      <c r="Y19" s="15"/>
      <c r="Z19" s="22">
        <v>1200</v>
      </c>
      <c r="AA19" s="22" t="s">
        <v>309</v>
      </c>
      <c r="AB19" s="30">
        <v>360</v>
      </c>
      <c r="AC19" s="30"/>
      <c r="AD19" s="31"/>
      <c r="AE19" s="15"/>
      <c r="AF19" s="15"/>
      <c r="AG19" s="15"/>
      <c r="AH19" s="15"/>
      <c r="AI19" s="30"/>
    </row>
  </sheetData>
  <mergeCells count="4">
    <mergeCell ref="B4:J4"/>
    <mergeCell ref="S5:AC5"/>
    <mergeCell ref="AD5:AI5"/>
    <mergeCell ref="A1:O2"/>
  </mergeCells>
  <phoneticPr fontId="39" type="noConversion"/>
  <pageMargins left="0.75" right="0.75" top="1" bottom="1" header="0.5" footer="0.5"/>
  <pageSetup paperSize="9" scale="52" orientation="portrait"/>
  <headerFooter scaleWithDoc="0"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C158"/>
  <sheetViews>
    <sheetView tabSelected="1" topLeftCell="A142" workbookViewId="0">
      <selection activeCell="E182" sqref="E182"/>
    </sheetView>
  </sheetViews>
  <sheetFormatPr defaultColWidth="8.625" defaultRowHeight="14.25" x14ac:dyDescent="0.15"/>
  <cols>
    <col min="4" max="4" width="17.375" customWidth="1"/>
    <col min="5" max="5" width="23.375" customWidth="1"/>
  </cols>
  <sheetData>
    <row r="1" spans="2:27" s="2" customFormat="1" x14ac:dyDescent="0.15">
      <c r="M1" s="4"/>
      <c r="N1" s="5"/>
      <c r="O1" s="4"/>
      <c r="P1" s="4"/>
      <c r="Q1" s="4"/>
      <c r="R1" s="4"/>
      <c r="S1" s="4"/>
      <c r="T1" s="4"/>
      <c r="U1" s="5"/>
      <c r="V1" s="5"/>
      <c r="W1" s="5"/>
      <c r="X1" s="5"/>
      <c r="Y1" s="4"/>
      <c r="Z1" s="4"/>
      <c r="AA1" s="4"/>
    </row>
    <row r="2" spans="2:27" s="2" customFormat="1" ht="22.5" x14ac:dyDescent="0.25">
      <c r="B2" s="264" t="s">
        <v>310</v>
      </c>
      <c r="C2" s="264"/>
      <c r="D2" s="264"/>
      <c r="E2" s="264"/>
      <c r="F2" s="264"/>
      <c r="G2" s="264"/>
      <c r="H2" s="264"/>
      <c r="I2" s="264"/>
      <c r="M2" s="4"/>
      <c r="N2" s="5"/>
      <c r="O2" s="4"/>
      <c r="P2" s="4"/>
      <c r="Q2" s="4"/>
      <c r="R2" s="4"/>
      <c r="S2" s="4"/>
      <c r="T2" s="4"/>
      <c r="U2" s="5"/>
      <c r="V2" s="5"/>
      <c r="W2" s="5"/>
      <c r="X2" s="5"/>
      <c r="Y2" s="4"/>
      <c r="Z2" s="4"/>
      <c r="AA2" s="4"/>
    </row>
    <row r="3" spans="2:27" s="2" customFormat="1" x14ac:dyDescent="0.15">
      <c r="B3" s="268" t="s">
        <v>311</v>
      </c>
      <c r="C3" s="269"/>
      <c r="D3" s="269"/>
      <c r="E3" s="269"/>
      <c r="F3" s="269"/>
      <c r="G3" s="269"/>
      <c r="H3" s="269"/>
      <c r="I3" s="269"/>
      <c r="J3" s="269"/>
      <c r="K3" s="269"/>
      <c r="L3" s="269"/>
      <c r="M3" s="4"/>
      <c r="N3" s="5"/>
      <c r="O3" s="4"/>
      <c r="P3" s="4"/>
      <c r="Q3" s="4"/>
      <c r="R3" s="4"/>
      <c r="S3" s="4"/>
      <c r="T3" s="4"/>
      <c r="U3" s="5"/>
      <c r="V3" s="5"/>
      <c r="W3" s="5"/>
      <c r="X3" s="5"/>
      <c r="Y3" s="4"/>
      <c r="Z3" s="4"/>
      <c r="AA3" s="4"/>
    </row>
    <row r="4" spans="2:27" s="2" customFormat="1" x14ac:dyDescent="0.15">
      <c r="B4" s="269"/>
      <c r="C4" s="269"/>
      <c r="D4" s="269"/>
      <c r="E4" s="269"/>
      <c r="F4" s="269"/>
      <c r="G4" s="269"/>
      <c r="H4" s="269"/>
      <c r="I4" s="269"/>
      <c r="J4" s="269"/>
      <c r="K4" s="269"/>
      <c r="L4" s="269"/>
      <c r="M4" s="4"/>
      <c r="N4" s="5"/>
      <c r="O4" s="4"/>
      <c r="P4" s="4"/>
      <c r="Q4" s="4"/>
      <c r="R4" s="4"/>
      <c r="S4" s="4"/>
      <c r="T4" s="4"/>
      <c r="U4" s="5"/>
      <c r="V4" s="5"/>
      <c r="W4" s="5"/>
      <c r="X4" s="5"/>
      <c r="Y4" s="4"/>
      <c r="Z4" s="4"/>
      <c r="AA4" s="4"/>
    </row>
    <row r="5" spans="2:27" s="2" customFormat="1" x14ac:dyDescent="0.15">
      <c r="B5" s="269"/>
      <c r="C5" s="269"/>
      <c r="D5" s="269"/>
      <c r="E5" s="269"/>
      <c r="F5" s="269"/>
      <c r="G5" s="269"/>
      <c r="H5" s="269"/>
      <c r="I5" s="269"/>
      <c r="J5" s="269"/>
      <c r="K5" s="269"/>
      <c r="L5" s="269"/>
      <c r="M5" s="4"/>
      <c r="N5" s="5"/>
      <c r="O5" s="4"/>
      <c r="P5" s="4"/>
      <c r="Q5" s="4"/>
      <c r="R5" s="4"/>
      <c r="S5" s="4"/>
      <c r="T5" s="4"/>
      <c r="U5" s="5"/>
      <c r="V5" s="5"/>
      <c r="W5" s="5"/>
      <c r="X5" s="5"/>
      <c r="Y5" s="4"/>
      <c r="Z5" s="4"/>
      <c r="AA5" s="4"/>
    </row>
    <row r="6" spans="2:27" s="2" customFormat="1" x14ac:dyDescent="0.15">
      <c r="B6" s="269"/>
      <c r="C6" s="269"/>
      <c r="D6" s="269"/>
      <c r="E6" s="269"/>
      <c r="F6" s="269"/>
      <c r="G6" s="269"/>
      <c r="H6" s="269"/>
      <c r="I6" s="269"/>
      <c r="J6" s="269"/>
      <c r="K6" s="269"/>
      <c r="L6" s="269"/>
      <c r="M6" s="4"/>
      <c r="N6" s="5"/>
      <c r="O6" s="4"/>
      <c r="P6" s="4"/>
      <c r="Q6" s="4"/>
      <c r="R6" s="4"/>
      <c r="S6" s="4"/>
      <c r="T6" s="4"/>
      <c r="U6" s="5"/>
      <c r="V6" s="5"/>
      <c r="W6" s="5"/>
      <c r="X6" s="5"/>
      <c r="Y6" s="4"/>
      <c r="Z6" s="4"/>
      <c r="AA6" s="4"/>
    </row>
    <row r="7" spans="2:27" s="2" customFormat="1" x14ac:dyDescent="0.15">
      <c r="B7" s="269"/>
      <c r="C7" s="269"/>
      <c r="D7" s="269"/>
      <c r="E7" s="269"/>
      <c r="F7" s="269"/>
      <c r="G7" s="269"/>
      <c r="H7" s="269"/>
      <c r="I7" s="269"/>
      <c r="J7" s="269"/>
      <c r="K7" s="269"/>
      <c r="L7" s="269"/>
      <c r="M7" s="4"/>
      <c r="N7" s="5"/>
      <c r="O7" s="4"/>
      <c r="P7" s="4"/>
      <c r="Q7" s="4"/>
      <c r="R7" s="4"/>
      <c r="S7" s="4"/>
      <c r="T7" s="4"/>
      <c r="U7" s="5"/>
      <c r="V7" s="5"/>
      <c r="W7" s="5"/>
      <c r="X7" s="5"/>
      <c r="Y7" s="4"/>
      <c r="Z7" s="4"/>
      <c r="AA7" s="4"/>
    </row>
    <row r="8" spans="2:27" s="2" customFormat="1" x14ac:dyDescent="0.15">
      <c r="B8" s="269"/>
      <c r="C8" s="269"/>
      <c r="D8" s="269"/>
      <c r="E8" s="269"/>
      <c r="F8" s="269"/>
      <c r="G8" s="269"/>
      <c r="H8" s="269"/>
      <c r="I8" s="269"/>
      <c r="J8" s="269"/>
      <c r="K8" s="269"/>
      <c r="L8" s="269"/>
      <c r="M8" s="4"/>
      <c r="N8" s="5"/>
      <c r="O8" s="4"/>
      <c r="P8" s="4"/>
      <c r="Q8" s="4"/>
      <c r="R8" s="4"/>
      <c r="S8" s="4"/>
      <c r="T8" s="4"/>
      <c r="U8" s="5"/>
      <c r="V8" s="5"/>
      <c r="W8" s="5"/>
      <c r="X8" s="5"/>
      <c r="Y8" s="4"/>
      <c r="Z8" s="4"/>
      <c r="AA8" s="4"/>
    </row>
    <row r="9" spans="2:27" s="2" customFormat="1" x14ac:dyDescent="0.15">
      <c r="B9" s="269"/>
      <c r="C9" s="269"/>
      <c r="D9" s="269"/>
      <c r="E9" s="269"/>
      <c r="F9" s="269"/>
      <c r="G9" s="269"/>
      <c r="H9" s="269"/>
      <c r="I9" s="269"/>
      <c r="J9" s="269"/>
      <c r="K9" s="269"/>
      <c r="L9" s="269"/>
      <c r="M9" s="4"/>
      <c r="N9" s="5"/>
      <c r="O9" s="4"/>
      <c r="P9" s="4"/>
      <c r="Q9" s="4"/>
      <c r="R9" s="4"/>
      <c r="S9" s="4"/>
      <c r="T9" s="4"/>
      <c r="U9" s="5"/>
      <c r="V9" s="5"/>
      <c r="W9" s="5"/>
      <c r="X9" s="5"/>
      <c r="Y9" s="4"/>
      <c r="Z9" s="4"/>
      <c r="AA9" s="4"/>
    </row>
    <row r="10" spans="2:27" s="2" customFormat="1" x14ac:dyDescent="0.15">
      <c r="B10" s="269"/>
      <c r="C10" s="269"/>
      <c r="D10" s="269"/>
      <c r="E10" s="269"/>
      <c r="F10" s="269"/>
      <c r="G10" s="269"/>
      <c r="H10" s="269"/>
      <c r="I10" s="269"/>
      <c r="J10" s="269"/>
      <c r="K10" s="269"/>
      <c r="L10" s="269"/>
      <c r="M10" s="4"/>
      <c r="N10" s="5"/>
      <c r="O10" s="4"/>
      <c r="P10" s="4"/>
      <c r="Q10" s="4"/>
      <c r="R10" s="4"/>
      <c r="S10" s="4"/>
      <c r="T10" s="4"/>
      <c r="U10" s="5"/>
      <c r="V10" s="5"/>
      <c r="W10" s="5"/>
      <c r="X10" s="5"/>
      <c r="Y10" s="4"/>
      <c r="Z10" s="4"/>
      <c r="AA10" s="4"/>
    </row>
    <row r="11" spans="2:27" s="2" customFormat="1" x14ac:dyDescent="0.15">
      <c r="B11" s="269"/>
      <c r="C11" s="269"/>
      <c r="D11" s="269"/>
      <c r="E11" s="269"/>
      <c r="F11" s="269"/>
      <c r="G11" s="269"/>
      <c r="H11" s="269"/>
      <c r="I11" s="269"/>
      <c r="J11" s="269"/>
      <c r="K11" s="269"/>
      <c r="L11" s="269"/>
      <c r="M11" s="4"/>
      <c r="N11" s="5"/>
      <c r="O11" s="4"/>
      <c r="P11" s="4"/>
      <c r="Q11" s="4"/>
      <c r="R11" s="4"/>
      <c r="S11" s="4"/>
      <c r="T11" s="4"/>
      <c r="U11" s="5"/>
      <c r="V11" s="5"/>
      <c r="W11" s="5"/>
      <c r="X11" s="5"/>
      <c r="Y11" s="4"/>
      <c r="Z11" s="4"/>
      <c r="AA11" s="4"/>
    </row>
    <row r="12" spans="2:27" s="2" customFormat="1" x14ac:dyDescent="0.15">
      <c r="B12" s="269"/>
      <c r="C12" s="269"/>
      <c r="D12" s="269"/>
      <c r="E12" s="269"/>
      <c r="F12" s="269"/>
      <c r="G12" s="269"/>
      <c r="H12" s="269"/>
      <c r="I12" s="269"/>
      <c r="J12" s="269"/>
      <c r="K12" s="269"/>
      <c r="L12" s="269"/>
      <c r="M12" s="4"/>
      <c r="N12" s="5"/>
      <c r="O12" s="4"/>
      <c r="P12" s="4"/>
      <c r="Q12" s="4"/>
      <c r="R12" s="4"/>
      <c r="S12" s="4"/>
      <c r="T12" s="4"/>
      <c r="U12" s="5"/>
      <c r="V12" s="5"/>
      <c r="W12" s="5"/>
      <c r="X12" s="5"/>
      <c r="Y12" s="4"/>
      <c r="Z12" s="4"/>
      <c r="AA12" s="4"/>
    </row>
    <row r="13" spans="2:27" s="2" customFormat="1" x14ac:dyDescent="0.15">
      <c r="B13" s="269"/>
      <c r="C13" s="269"/>
      <c r="D13" s="269"/>
      <c r="E13" s="269"/>
      <c r="F13" s="269"/>
      <c r="G13" s="269"/>
      <c r="H13" s="269"/>
      <c r="I13" s="269"/>
      <c r="J13" s="269"/>
      <c r="K13" s="269"/>
      <c r="L13" s="269"/>
      <c r="M13" s="4"/>
      <c r="N13" s="5"/>
      <c r="O13" s="4"/>
      <c r="P13" s="4"/>
      <c r="Q13" s="4"/>
      <c r="R13" s="4"/>
      <c r="S13" s="4"/>
      <c r="T13" s="4"/>
      <c r="U13" s="5"/>
      <c r="V13" s="5"/>
      <c r="W13" s="5"/>
      <c r="X13" s="5"/>
      <c r="Y13" s="4"/>
      <c r="Z13" s="4"/>
      <c r="AA13" s="4"/>
    </row>
    <row r="14" spans="2:27" s="2" customFormat="1" x14ac:dyDescent="0.15">
      <c r="B14" s="269"/>
      <c r="C14" s="269"/>
      <c r="D14" s="269"/>
      <c r="E14" s="269"/>
      <c r="F14" s="269"/>
      <c r="G14" s="269"/>
      <c r="H14" s="269"/>
      <c r="I14" s="269"/>
      <c r="J14" s="269"/>
      <c r="K14" s="269"/>
      <c r="L14" s="269"/>
      <c r="M14" s="4"/>
      <c r="N14" s="5"/>
      <c r="O14" s="4"/>
      <c r="P14" s="4"/>
      <c r="Q14" s="4"/>
      <c r="R14" s="4"/>
      <c r="S14" s="4"/>
      <c r="T14" s="4"/>
      <c r="U14" s="5"/>
      <c r="V14" s="5"/>
      <c r="W14" s="5"/>
      <c r="X14" s="5"/>
      <c r="Y14" s="4"/>
      <c r="Z14" s="4"/>
      <c r="AA14" s="4"/>
    </row>
    <row r="15" spans="2:27" s="2" customFormat="1" x14ac:dyDescent="0.15">
      <c r="B15" s="269"/>
      <c r="C15" s="269"/>
      <c r="D15" s="269"/>
      <c r="E15" s="269"/>
      <c r="F15" s="269"/>
      <c r="G15" s="269"/>
      <c r="H15" s="269"/>
      <c r="I15" s="269"/>
      <c r="J15" s="269"/>
      <c r="K15" s="269"/>
      <c r="L15" s="269"/>
      <c r="M15" s="4"/>
      <c r="N15" s="5"/>
      <c r="O15" s="4"/>
      <c r="P15" s="4"/>
      <c r="Q15" s="4"/>
      <c r="R15" s="4"/>
      <c r="S15" s="4"/>
      <c r="T15" s="4"/>
      <c r="U15" s="5"/>
      <c r="V15" s="5"/>
      <c r="W15" s="5"/>
      <c r="X15" s="5"/>
      <c r="Y15" s="4"/>
      <c r="Z15" s="4"/>
      <c r="AA15" s="4"/>
    </row>
    <row r="16" spans="2:27" s="2" customFormat="1" x14ac:dyDescent="0.15">
      <c r="B16" s="269"/>
      <c r="C16" s="269"/>
      <c r="D16" s="269"/>
      <c r="E16" s="269"/>
      <c r="F16" s="269"/>
      <c r="G16" s="269"/>
      <c r="H16" s="269"/>
      <c r="I16" s="269"/>
      <c r="J16" s="269"/>
      <c r="K16" s="269"/>
      <c r="L16" s="269"/>
      <c r="M16" s="4"/>
      <c r="N16" s="5"/>
      <c r="O16" s="4"/>
      <c r="P16" s="4"/>
      <c r="Q16" s="4"/>
      <c r="R16" s="4"/>
      <c r="S16" s="4"/>
      <c r="T16" s="4"/>
      <c r="U16" s="5"/>
      <c r="V16" s="5"/>
      <c r="W16" s="5"/>
      <c r="X16" s="5"/>
      <c r="Y16" s="4"/>
      <c r="Z16" s="4"/>
      <c r="AA16" s="4"/>
    </row>
    <row r="17" spans="2:29" s="2" customFormat="1" x14ac:dyDescent="0.15">
      <c r="B17" s="269"/>
      <c r="C17" s="269"/>
      <c r="D17" s="269"/>
      <c r="E17" s="269"/>
      <c r="F17" s="269"/>
      <c r="G17" s="269"/>
      <c r="H17" s="269"/>
      <c r="I17" s="269"/>
      <c r="J17" s="269"/>
      <c r="K17" s="269"/>
      <c r="L17" s="269"/>
      <c r="M17" s="4"/>
      <c r="N17" s="5"/>
      <c r="O17" s="4"/>
      <c r="P17" s="4"/>
      <c r="Q17" s="4"/>
      <c r="R17" s="4"/>
      <c r="S17" s="4"/>
      <c r="T17" s="4"/>
      <c r="U17" s="5"/>
      <c r="V17" s="5"/>
      <c r="W17" s="5"/>
      <c r="X17" s="5"/>
      <c r="Y17" s="4"/>
      <c r="Z17" s="4"/>
      <c r="AA17" s="4"/>
    </row>
    <row r="18" spans="2:29" s="2" customFormat="1" x14ac:dyDescent="0.15">
      <c r="B18" s="269"/>
      <c r="C18" s="269"/>
      <c r="D18" s="269"/>
      <c r="E18" s="269"/>
      <c r="F18" s="269"/>
      <c r="G18" s="269"/>
      <c r="H18" s="269"/>
      <c r="I18" s="269"/>
      <c r="J18" s="269"/>
      <c r="K18" s="269"/>
      <c r="L18" s="269"/>
      <c r="M18" s="4"/>
      <c r="N18" s="5"/>
      <c r="O18" s="4"/>
      <c r="P18" s="4"/>
      <c r="Q18" s="4"/>
      <c r="R18" s="4"/>
      <c r="S18" s="4"/>
      <c r="T18" s="4"/>
      <c r="U18" s="5"/>
      <c r="V18" s="5"/>
      <c r="W18" s="5"/>
      <c r="X18" s="5"/>
      <c r="Y18" s="4"/>
      <c r="Z18" s="4"/>
      <c r="AA18" s="4"/>
    </row>
    <row r="19" spans="2:29" s="2" customFormat="1" x14ac:dyDescent="0.15">
      <c r="B19" s="269"/>
      <c r="C19" s="269"/>
      <c r="D19" s="269"/>
      <c r="E19" s="269"/>
      <c r="F19" s="269"/>
      <c r="G19" s="269"/>
      <c r="H19" s="269"/>
      <c r="I19" s="269"/>
      <c r="J19" s="269"/>
      <c r="K19" s="269"/>
      <c r="L19" s="269"/>
      <c r="M19" s="4"/>
      <c r="N19" s="5"/>
      <c r="O19" s="4"/>
      <c r="P19" s="4"/>
      <c r="Q19" s="4"/>
      <c r="R19" s="4"/>
      <c r="S19" s="4"/>
      <c r="T19" s="4"/>
      <c r="U19" s="5"/>
      <c r="V19" s="5"/>
      <c r="W19" s="5"/>
      <c r="X19" s="5"/>
      <c r="Y19" s="4"/>
      <c r="Z19" s="4"/>
      <c r="AA19" s="4"/>
    </row>
    <row r="20" spans="2:29" s="2" customFormat="1" x14ac:dyDescent="0.15">
      <c r="B20" s="269"/>
      <c r="C20" s="269"/>
      <c r="D20" s="269"/>
      <c r="E20" s="269"/>
      <c r="F20" s="269"/>
      <c r="G20" s="269"/>
      <c r="H20" s="269"/>
      <c r="I20" s="269"/>
      <c r="J20" s="269"/>
      <c r="K20" s="269"/>
      <c r="L20" s="269"/>
      <c r="M20" s="4"/>
      <c r="N20" s="5"/>
      <c r="O20" s="4"/>
      <c r="P20" s="4"/>
      <c r="Q20" s="4"/>
      <c r="R20" s="4"/>
      <c r="S20" s="4"/>
      <c r="T20" s="4"/>
      <c r="U20" s="5"/>
      <c r="V20" s="5"/>
      <c r="W20" s="5"/>
      <c r="X20" s="5"/>
      <c r="Y20" s="4"/>
      <c r="Z20" s="4"/>
      <c r="AA20" s="4"/>
    </row>
    <row r="21" spans="2:29" s="2" customFormat="1" ht="18.95" customHeight="1" x14ac:dyDescent="0.15">
      <c r="B21" s="269"/>
      <c r="C21" s="269"/>
      <c r="D21" s="269"/>
      <c r="E21" s="269"/>
      <c r="F21" s="269"/>
      <c r="G21" s="269"/>
      <c r="H21" s="269"/>
      <c r="I21" s="269"/>
      <c r="J21" s="269"/>
      <c r="K21" s="269"/>
      <c r="L21" s="269"/>
      <c r="M21" s="4"/>
      <c r="N21" s="5"/>
      <c r="O21" s="4"/>
      <c r="P21" s="4"/>
      <c r="Q21" s="4"/>
      <c r="R21" s="4"/>
      <c r="S21" s="4"/>
      <c r="T21" s="4"/>
      <c r="U21" s="5"/>
      <c r="V21" s="5"/>
      <c r="W21" s="5"/>
      <c r="X21" s="5"/>
      <c r="Y21" s="4"/>
      <c r="Z21" s="4"/>
      <c r="AA21" s="4"/>
    </row>
    <row r="22" spans="2:29" s="2" customFormat="1" ht="14.25" customHeight="1" x14ac:dyDescent="0.15">
      <c r="B22" s="269"/>
      <c r="C22" s="269"/>
      <c r="D22" s="269"/>
      <c r="E22" s="269"/>
      <c r="F22" s="269"/>
      <c r="G22" s="269"/>
      <c r="H22" s="269"/>
      <c r="I22" s="269"/>
      <c r="J22" s="269"/>
      <c r="K22" s="269"/>
      <c r="L22" s="269"/>
      <c r="Q22" s="4"/>
      <c r="R22" s="4"/>
      <c r="S22" s="4"/>
      <c r="T22" s="4"/>
      <c r="U22" s="5"/>
      <c r="V22" s="5"/>
      <c r="W22" s="5"/>
      <c r="X22" s="5"/>
      <c r="Y22" s="4"/>
      <c r="Z22" s="4"/>
      <c r="AA22" s="4"/>
    </row>
    <row r="23" spans="2:29" s="2" customFormat="1" x14ac:dyDescent="0.15">
      <c r="B23" s="269"/>
      <c r="C23" s="269"/>
      <c r="D23" s="269"/>
      <c r="E23" s="269"/>
      <c r="F23" s="269"/>
      <c r="G23" s="269"/>
      <c r="H23" s="269"/>
      <c r="I23" s="269"/>
      <c r="J23" s="269"/>
      <c r="K23" s="269"/>
      <c r="L23" s="269"/>
      <c r="Q23" s="4"/>
      <c r="R23" s="4"/>
      <c r="S23" s="4"/>
      <c r="T23" s="4"/>
      <c r="U23" s="5"/>
      <c r="V23" s="5"/>
      <c r="W23" s="5"/>
      <c r="X23" s="5"/>
      <c r="Y23" s="4"/>
      <c r="Z23" s="4"/>
      <c r="AA23" s="4"/>
    </row>
    <row r="24" spans="2:29" s="2" customFormat="1" x14ac:dyDescent="0.15">
      <c r="B24" s="269"/>
      <c r="C24" s="269"/>
      <c r="D24" s="269"/>
      <c r="E24" s="269"/>
      <c r="F24" s="269"/>
      <c r="G24" s="269"/>
      <c r="H24" s="269"/>
      <c r="I24" s="269"/>
      <c r="J24" s="269"/>
      <c r="K24" s="269"/>
      <c r="L24" s="269"/>
      <c r="Q24" s="4"/>
      <c r="R24" s="4"/>
      <c r="S24" s="4"/>
      <c r="T24" s="4"/>
      <c r="U24" s="5"/>
      <c r="V24" s="5"/>
      <c r="W24" s="5"/>
      <c r="X24" s="5"/>
      <c r="Y24" s="4"/>
      <c r="Z24" s="4"/>
      <c r="AA24" s="4"/>
    </row>
    <row r="25" spans="2:29" s="2" customFormat="1" x14ac:dyDescent="0.15">
      <c r="B25" s="269"/>
      <c r="C25" s="269"/>
      <c r="D25" s="269"/>
      <c r="E25" s="269"/>
      <c r="F25" s="269"/>
      <c r="G25" s="269"/>
      <c r="H25" s="269"/>
      <c r="I25" s="269"/>
      <c r="J25" s="269"/>
      <c r="K25" s="269"/>
      <c r="L25" s="269"/>
      <c r="Q25" s="4"/>
      <c r="R25" s="4"/>
      <c r="S25" s="4"/>
      <c r="T25" s="4"/>
      <c r="U25" s="5"/>
      <c r="V25" s="5"/>
      <c r="W25" s="5"/>
      <c r="X25" s="5"/>
      <c r="Y25" s="4"/>
      <c r="Z25" s="4"/>
      <c r="AA25" s="4"/>
    </row>
    <row r="26" spans="2:29" s="2" customFormat="1" x14ac:dyDescent="0.15">
      <c r="B26" s="269"/>
      <c r="C26" s="269"/>
      <c r="D26" s="269"/>
      <c r="E26" s="269"/>
      <c r="F26" s="269"/>
      <c r="G26" s="269"/>
      <c r="H26" s="269"/>
      <c r="I26" s="269"/>
      <c r="J26" s="269"/>
      <c r="K26" s="269"/>
      <c r="L26" s="269"/>
      <c r="Q26" s="4"/>
      <c r="R26" s="4"/>
      <c r="S26" s="4"/>
      <c r="T26" s="4"/>
      <c r="U26" s="5"/>
      <c r="V26" s="5"/>
      <c r="W26" s="5"/>
      <c r="X26" s="5"/>
      <c r="Y26" s="4"/>
      <c r="Z26" s="4"/>
      <c r="AA26" s="4"/>
    </row>
    <row r="27" spans="2:29" s="2" customFormat="1" x14ac:dyDescent="0.15">
      <c r="B27" s="269"/>
      <c r="C27" s="269"/>
      <c r="D27" s="269"/>
      <c r="E27" s="269"/>
      <c r="F27" s="269"/>
      <c r="G27" s="269"/>
      <c r="H27" s="269"/>
      <c r="I27" s="269"/>
      <c r="J27" s="269"/>
      <c r="K27" s="269"/>
      <c r="L27" s="269"/>
      <c r="Q27" s="4"/>
      <c r="R27" s="4"/>
      <c r="S27" s="4"/>
      <c r="T27" s="4"/>
      <c r="U27" s="5"/>
      <c r="V27" s="5"/>
      <c r="W27" s="5"/>
      <c r="X27" s="5"/>
      <c r="Y27" s="4"/>
      <c r="Z27" s="4"/>
      <c r="AA27" s="4"/>
    </row>
    <row r="28" spans="2:29" s="2" customFormat="1" ht="20.100000000000001" customHeight="1" x14ac:dyDescent="0.15">
      <c r="B28" s="265" t="s">
        <v>312</v>
      </c>
      <c r="C28" s="265"/>
      <c r="D28" s="265"/>
      <c r="E28" s="265"/>
      <c r="F28" s="265"/>
      <c r="G28" s="265"/>
      <c r="Q28" s="4"/>
      <c r="R28" s="4"/>
      <c r="S28" s="4"/>
      <c r="T28" s="4"/>
      <c r="U28" s="5"/>
      <c r="V28" s="5"/>
      <c r="W28" s="5"/>
      <c r="X28" s="5"/>
      <c r="Y28" s="4"/>
      <c r="Z28" s="4"/>
      <c r="AA28" s="4"/>
    </row>
    <row r="29" spans="2:29" s="2" customFormat="1" x14ac:dyDescent="0.15">
      <c r="B29" s="265"/>
      <c r="C29" s="265"/>
      <c r="D29" s="265"/>
      <c r="E29" s="265"/>
      <c r="F29" s="265"/>
      <c r="G29" s="265"/>
      <c r="Q29" s="4"/>
      <c r="R29" s="4"/>
      <c r="S29" s="4"/>
      <c r="T29" s="270" t="s">
        <v>313</v>
      </c>
      <c r="U29" s="271"/>
      <c r="V29" s="271"/>
      <c r="W29" s="271"/>
      <c r="X29" s="271"/>
      <c r="Y29" s="271"/>
      <c r="Z29" s="271"/>
      <c r="AA29" s="271"/>
      <c r="AB29" s="271"/>
      <c r="AC29" s="271"/>
    </row>
    <row r="30" spans="2:29" s="2" customFormat="1" x14ac:dyDescent="0.15">
      <c r="B30" s="265"/>
      <c r="C30" s="265"/>
      <c r="D30" s="265"/>
      <c r="E30" s="265"/>
      <c r="F30" s="265"/>
      <c r="G30" s="265"/>
      <c r="S30" s="4"/>
      <c r="T30" s="271"/>
      <c r="U30" s="271"/>
      <c r="V30" s="271"/>
      <c r="W30" s="271"/>
      <c r="X30" s="271"/>
      <c r="Y30" s="271"/>
      <c r="Z30" s="271"/>
      <c r="AA30" s="271"/>
      <c r="AB30" s="271"/>
      <c r="AC30" s="271"/>
    </row>
    <row r="31" spans="2:29" s="2" customFormat="1" x14ac:dyDescent="0.15">
      <c r="B31" s="265"/>
      <c r="C31" s="265"/>
      <c r="D31" s="265"/>
      <c r="E31" s="265"/>
      <c r="F31" s="265"/>
      <c r="G31" s="265"/>
      <c r="S31" s="4"/>
      <c r="T31" s="271"/>
      <c r="U31" s="271"/>
      <c r="V31" s="271"/>
      <c r="W31" s="271"/>
      <c r="X31" s="271"/>
      <c r="Y31" s="271"/>
      <c r="Z31" s="271"/>
      <c r="AA31" s="271"/>
      <c r="AB31" s="271"/>
      <c r="AC31" s="271"/>
    </row>
    <row r="32" spans="2:29" s="2" customFormat="1" x14ac:dyDescent="0.15">
      <c r="B32" s="265"/>
      <c r="C32" s="265"/>
      <c r="D32" s="265"/>
      <c r="E32" s="265"/>
      <c r="F32" s="265"/>
      <c r="G32" s="265"/>
      <c r="S32" s="4"/>
      <c r="T32" s="271"/>
      <c r="U32" s="271"/>
      <c r="V32" s="271"/>
      <c r="W32" s="271"/>
      <c r="X32" s="271"/>
      <c r="Y32" s="271"/>
      <c r="Z32" s="271"/>
      <c r="AA32" s="271"/>
      <c r="AB32" s="271"/>
      <c r="AC32" s="271"/>
    </row>
    <row r="33" spans="2:29" s="2" customFormat="1" x14ac:dyDescent="0.15">
      <c r="B33" s="265"/>
      <c r="C33" s="265"/>
      <c r="D33" s="265"/>
      <c r="E33" s="265"/>
      <c r="F33" s="265"/>
      <c r="G33" s="265"/>
      <c r="S33" s="4"/>
      <c r="T33" s="271"/>
      <c r="U33" s="271"/>
      <c r="V33" s="271"/>
      <c r="W33" s="271"/>
      <c r="X33" s="271"/>
      <c r="Y33" s="271"/>
      <c r="Z33" s="271"/>
      <c r="AA33" s="271"/>
      <c r="AB33" s="271"/>
      <c r="AC33" s="271"/>
    </row>
    <row r="34" spans="2:29" s="2" customFormat="1" x14ac:dyDescent="0.15">
      <c r="B34" s="265"/>
      <c r="C34" s="265"/>
      <c r="D34" s="265"/>
      <c r="E34" s="265"/>
      <c r="F34" s="265"/>
      <c r="G34" s="265"/>
      <c r="S34" s="4"/>
      <c r="T34" s="271"/>
      <c r="U34" s="271"/>
      <c r="V34" s="271"/>
      <c r="W34" s="271"/>
      <c r="X34" s="271"/>
      <c r="Y34" s="271"/>
      <c r="Z34" s="271"/>
      <c r="AA34" s="271"/>
      <c r="AB34" s="271"/>
      <c r="AC34" s="271"/>
    </row>
    <row r="35" spans="2:29" s="2" customFormat="1" x14ac:dyDescent="0.15">
      <c r="B35" s="265"/>
      <c r="C35" s="265"/>
      <c r="D35" s="265"/>
      <c r="E35" s="265"/>
      <c r="F35" s="265"/>
      <c r="G35" s="265"/>
      <c r="S35" s="4"/>
      <c r="T35" s="271"/>
      <c r="U35" s="271"/>
      <c r="V35" s="271"/>
      <c r="W35" s="271"/>
      <c r="X35" s="271"/>
      <c r="Y35" s="271"/>
      <c r="Z35" s="271"/>
      <c r="AA35" s="271"/>
      <c r="AB35" s="271"/>
      <c r="AC35" s="271"/>
    </row>
    <row r="36" spans="2:29" s="2" customFormat="1" x14ac:dyDescent="0.15">
      <c r="B36" s="265"/>
      <c r="C36" s="265"/>
      <c r="D36" s="265"/>
      <c r="E36" s="265"/>
      <c r="F36" s="265"/>
      <c r="G36" s="265"/>
      <c r="S36" s="4"/>
      <c r="T36" s="271"/>
      <c r="U36" s="271"/>
      <c r="V36" s="271"/>
      <c r="W36" s="271"/>
      <c r="X36" s="271"/>
      <c r="Y36" s="271"/>
      <c r="Z36" s="271"/>
      <c r="AA36" s="271"/>
      <c r="AB36" s="271"/>
      <c r="AC36" s="271"/>
    </row>
    <row r="37" spans="2:29" s="2" customFormat="1" x14ac:dyDescent="0.15">
      <c r="B37" s="265"/>
      <c r="C37" s="265"/>
      <c r="D37" s="265"/>
      <c r="E37" s="265"/>
      <c r="F37" s="265"/>
      <c r="G37" s="265"/>
      <c r="S37" s="4"/>
      <c r="T37" s="271"/>
      <c r="U37" s="271"/>
      <c r="V37" s="271"/>
      <c r="W37" s="271"/>
      <c r="X37" s="271"/>
      <c r="Y37" s="271"/>
      <c r="Z37" s="271"/>
      <c r="AA37" s="271"/>
      <c r="AB37" s="271"/>
      <c r="AC37" s="271"/>
    </row>
    <row r="38" spans="2:29" s="2" customFormat="1" x14ac:dyDescent="0.15">
      <c r="B38" s="265"/>
      <c r="C38" s="265"/>
      <c r="D38" s="265"/>
      <c r="E38" s="265"/>
      <c r="F38" s="265"/>
      <c r="G38" s="265"/>
      <c r="S38" s="4"/>
      <c r="T38" s="271"/>
      <c r="U38" s="271"/>
      <c r="V38" s="271"/>
      <c r="W38" s="271"/>
      <c r="X38" s="271"/>
      <c r="Y38" s="271"/>
      <c r="Z38" s="271"/>
      <c r="AA38" s="271"/>
      <c r="AB38" s="271"/>
      <c r="AC38" s="271"/>
    </row>
    <row r="39" spans="2:29" s="2" customFormat="1" x14ac:dyDescent="0.15">
      <c r="B39" s="265"/>
      <c r="C39" s="265"/>
      <c r="D39" s="265"/>
      <c r="E39" s="265"/>
      <c r="F39" s="265"/>
      <c r="G39" s="265"/>
      <c r="S39" s="4"/>
      <c r="T39" s="271"/>
      <c r="U39" s="271"/>
      <c r="V39" s="271"/>
      <c r="W39" s="271"/>
      <c r="X39" s="271"/>
      <c r="Y39" s="271"/>
      <c r="Z39" s="271"/>
      <c r="AA39" s="271"/>
      <c r="AB39" s="271"/>
      <c r="AC39" s="271"/>
    </row>
    <row r="40" spans="2:29" s="2" customFormat="1" x14ac:dyDescent="0.15">
      <c r="S40" s="4"/>
      <c r="T40" s="271"/>
      <c r="U40" s="271"/>
      <c r="V40" s="271"/>
      <c r="W40" s="271"/>
      <c r="X40" s="271"/>
      <c r="Y40" s="271"/>
      <c r="Z40" s="271"/>
      <c r="AA40" s="271"/>
      <c r="AB40" s="271"/>
      <c r="AC40" s="271"/>
    </row>
    <row r="41" spans="2:29" s="2" customFormat="1" x14ac:dyDescent="0.15">
      <c r="B41" s="265" t="s">
        <v>314</v>
      </c>
      <c r="C41" s="265"/>
      <c r="D41" s="265"/>
      <c r="E41" s="265"/>
      <c r="F41" s="265"/>
      <c r="G41" s="265"/>
      <c r="S41" s="4"/>
      <c r="T41" s="271"/>
      <c r="U41" s="271"/>
      <c r="V41" s="271"/>
      <c r="W41" s="271"/>
      <c r="X41" s="271"/>
      <c r="Y41" s="271"/>
      <c r="Z41" s="271"/>
      <c r="AA41" s="271"/>
      <c r="AB41" s="271"/>
      <c r="AC41" s="271"/>
    </row>
    <row r="42" spans="2:29" s="2" customFormat="1" x14ac:dyDescent="0.15">
      <c r="B42" s="265"/>
      <c r="C42" s="265"/>
      <c r="D42" s="265"/>
      <c r="E42" s="265"/>
      <c r="F42" s="265"/>
      <c r="G42" s="265"/>
      <c r="S42" s="4"/>
      <c r="T42" s="271"/>
      <c r="U42" s="271"/>
      <c r="V42" s="271"/>
      <c r="W42" s="271"/>
      <c r="X42" s="271"/>
      <c r="Y42" s="271"/>
      <c r="Z42" s="271"/>
      <c r="AA42" s="271"/>
      <c r="AB42" s="271"/>
      <c r="AC42" s="271"/>
    </row>
    <row r="43" spans="2:29" s="2" customFormat="1" x14ac:dyDescent="0.15">
      <c r="B43" s="265"/>
      <c r="C43" s="265"/>
      <c r="D43" s="265"/>
      <c r="E43" s="265"/>
      <c r="F43" s="265"/>
      <c r="G43" s="265"/>
      <c r="S43" s="4"/>
      <c r="T43" s="271"/>
      <c r="U43" s="271"/>
      <c r="V43" s="271"/>
      <c r="W43" s="271"/>
      <c r="X43" s="271"/>
      <c r="Y43" s="271"/>
      <c r="Z43" s="271"/>
      <c r="AA43" s="271"/>
      <c r="AB43" s="271"/>
      <c r="AC43" s="271"/>
    </row>
    <row r="44" spans="2:29" s="2" customFormat="1" x14ac:dyDescent="0.15">
      <c r="B44" s="265"/>
      <c r="C44" s="265"/>
      <c r="D44" s="265"/>
      <c r="E44" s="265"/>
      <c r="F44" s="265"/>
      <c r="G44" s="265"/>
      <c r="S44" s="4"/>
      <c r="T44" s="271"/>
      <c r="U44" s="271"/>
      <c r="V44" s="271"/>
      <c r="W44" s="271"/>
      <c r="X44" s="271"/>
      <c r="Y44" s="271"/>
      <c r="Z44" s="271"/>
      <c r="AA44" s="271"/>
      <c r="AB44" s="271"/>
      <c r="AC44" s="271"/>
    </row>
    <row r="45" spans="2:29" s="2" customFormat="1" x14ac:dyDescent="0.15">
      <c r="B45" s="265"/>
      <c r="C45" s="265"/>
      <c r="D45" s="265"/>
      <c r="E45" s="265"/>
      <c r="F45" s="265"/>
      <c r="G45" s="265"/>
      <c r="S45" s="4"/>
      <c r="T45" s="4"/>
      <c r="U45" s="5"/>
      <c r="V45" s="5"/>
      <c r="W45" s="5"/>
      <c r="X45" s="5"/>
      <c r="Y45" s="4"/>
      <c r="Z45" s="4"/>
      <c r="AA45" s="4"/>
    </row>
    <row r="46" spans="2:29" s="2" customFormat="1" x14ac:dyDescent="0.15">
      <c r="B46" s="265"/>
      <c r="C46" s="265"/>
      <c r="D46" s="265"/>
      <c r="E46" s="265"/>
      <c r="F46" s="265"/>
      <c r="G46" s="265"/>
      <c r="S46" s="4"/>
      <c r="T46" s="271" t="s">
        <v>315</v>
      </c>
      <c r="U46" s="272"/>
      <c r="V46" s="272"/>
      <c r="W46" s="272"/>
      <c r="X46" s="272"/>
      <c r="Y46" s="272"/>
      <c r="Z46" s="272"/>
      <c r="AA46" s="272"/>
      <c r="AB46" s="272"/>
      <c r="AC46" s="272"/>
    </row>
    <row r="47" spans="2:29" s="2" customFormat="1" x14ac:dyDescent="0.15">
      <c r="B47" s="265"/>
      <c r="C47" s="265"/>
      <c r="D47" s="265"/>
      <c r="E47" s="265"/>
      <c r="F47" s="265"/>
      <c r="G47" s="265"/>
      <c r="S47" s="4"/>
      <c r="T47" s="272"/>
      <c r="U47" s="272"/>
      <c r="V47" s="272"/>
      <c r="W47" s="272"/>
      <c r="X47" s="272"/>
      <c r="Y47" s="272"/>
      <c r="Z47" s="272"/>
      <c r="AA47" s="272"/>
      <c r="AB47" s="272"/>
      <c r="AC47" s="272"/>
    </row>
    <row r="48" spans="2:29" s="2" customFormat="1" x14ac:dyDescent="0.15">
      <c r="B48" s="265"/>
      <c r="C48" s="265"/>
      <c r="D48" s="265"/>
      <c r="E48" s="265"/>
      <c r="F48" s="265"/>
      <c r="G48" s="265"/>
      <c r="M48" s="4"/>
      <c r="N48" s="5"/>
      <c r="O48" s="4"/>
      <c r="P48" s="4"/>
      <c r="Q48" s="4"/>
      <c r="R48" s="4"/>
      <c r="S48" s="4"/>
      <c r="T48" s="272"/>
      <c r="U48" s="272"/>
      <c r="V48" s="272"/>
      <c r="W48" s="272"/>
      <c r="X48" s="272"/>
      <c r="Y48" s="272"/>
      <c r="Z48" s="272"/>
      <c r="AA48" s="272"/>
      <c r="AB48" s="272"/>
      <c r="AC48" s="272"/>
    </row>
    <row r="49" spans="2:29" s="2" customFormat="1" x14ac:dyDescent="0.15">
      <c r="B49" s="265"/>
      <c r="C49" s="265"/>
      <c r="D49" s="265"/>
      <c r="E49" s="265"/>
      <c r="F49" s="265"/>
      <c r="G49" s="265"/>
      <c r="S49" s="4"/>
      <c r="T49" s="272"/>
      <c r="U49" s="272"/>
      <c r="V49" s="272"/>
      <c r="W49" s="272"/>
      <c r="X49" s="272"/>
      <c r="Y49" s="272"/>
      <c r="Z49" s="272"/>
      <c r="AA49" s="272"/>
      <c r="AB49" s="272"/>
      <c r="AC49" s="272"/>
    </row>
    <row r="50" spans="2:29" s="2" customFormat="1" x14ac:dyDescent="0.15">
      <c r="B50" s="265"/>
      <c r="C50" s="265"/>
      <c r="D50" s="265"/>
      <c r="E50" s="265"/>
      <c r="F50" s="265"/>
      <c r="G50" s="265"/>
      <c r="S50" s="4"/>
      <c r="T50" s="272"/>
      <c r="U50" s="272"/>
      <c r="V50" s="272"/>
      <c r="W50" s="272"/>
      <c r="X50" s="272"/>
      <c r="Y50" s="272"/>
      <c r="Z50" s="272"/>
      <c r="AA50" s="272"/>
      <c r="AB50" s="272"/>
      <c r="AC50" s="272"/>
    </row>
    <row r="51" spans="2:29" s="2" customFormat="1" x14ac:dyDescent="0.15">
      <c r="B51" s="265"/>
      <c r="C51" s="265"/>
      <c r="D51" s="265"/>
      <c r="E51" s="265"/>
      <c r="F51" s="265"/>
      <c r="G51" s="265"/>
      <c r="S51" s="4"/>
      <c r="T51" s="272"/>
      <c r="U51" s="272"/>
      <c r="V51" s="272"/>
      <c r="W51" s="272"/>
      <c r="X51" s="272"/>
      <c r="Y51" s="272"/>
      <c r="Z51" s="272"/>
      <c r="AA51" s="272"/>
      <c r="AB51" s="272"/>
      <c r="AC51" s="272"/>
    </row>
    <row r="52" spans="2:29" s="2" customFormat="1" x14ac:dyDescent="0.15">
      <c r="B52" s="265"/>
      <c r="C52" s="265"/>
      <c r="D52" s="265"/>
      <c r="E52" s="265"/>
      <c r="F52" s="265"/>
      <c r="G52" s="265"/>
      <c r="S52" s="4"/>
      <c r="T52" s="272"/>
      <c r="U52" s="272"/>
      <c r="V52" s="272"/>
      <c r="W52" s="272"/>
      <c r="X52" s="272"/>
      <c r="Y52" s="272"/>
      <c r="Z52" s="272"/>
      <c r="AA52" s="272"/>
      <c r="AB52" s="272"/>
      <c r="AC52" s="272"/>
    </row>
    <row r="53" spans="2:29" s="2" customFormat="1" x14ac:dyDescent="0.15">
      <c r="B53" s="265"/>
      <c r="C53" s="265"/>
      <c r="D53" s="265"/>
      <c r="E53" s="265"/>
      <c r="F53" s="265"/>
      <c r="G53" s="265"/>
      <c r="S53" s="4"/>
      <c r="T53" s="272"/>
      <c r="U53" s="272"/>
      <c r="V53" s="272"/>
      <c r="W53" s="272"/>
      <c r="X53" s="272"/>
      <c r="Y53" s="272"/>
      <c r="Z53" s="272"/>
      <c r="AA53" s="272"/>
      <c r="AB53" s="272"/>
      <c r="AC53" s="272"/>
    </row>
    <row r="54" spans="2:29" s="2" customFormat="1" x14ac:dyDescent="0.15">
      <c r="B54" s="265"/>
      <c r="C54" s="265"/>
      <c r="D54" s="265"/>
      <c r="E54" s="265"/>
      <c r="F54" s="265"/>
      <c r="G54" s="265"/>
      <c r="S54" s="4"/>
      <c r="T54" s="272"/>
      <c r="U54" s="272"/>
      <c r="V54" s="272"/>
      <c r="W54" s="272"/>
      <c r="X54" s="272"/>
      <c r="Y54" s="272"/>
      <c r="Z54" s="272"/>
      <c r="AA54" s="272"/>
      <c r="AB54" s="272"/>
      <c r="AC54" s="272"/>
    </row>
    <row r="55" spans="2:29" s="2" customFormat="1" x14ac:dyDescent="0.15">
      <c r="B55" s="265"/>
      <c r="C55" s="265"/>
      <c r="D55" s="265"/>
      <c r="E55" s="265"/>
      <c r="F55" s="265"/>
      <c r="G55" s="265"/>
      <c r="S55" s="4"/>
      <c r="T55" s="4"/>
      <c r="U55" s="5"/>
      <c r="V55" s="5"/>
      <c r="W55" s="5"/>
      <c r="X55" s="5"/>
      <c r="Y55" s="4"/>
      <c r="Z55" s="4"/>
      <c r="AA55" s="4"/>
    </row>
    <row r="56" spans="2:29" s="2" customFormat="1" x14ac:dyDescent="0.15">
      <c r="B56" s="265"/>
      <c r="C56" s="265"/>
      <c r="D56" s="265"/>
      <c r="E56" s="265"/>
      <c r="F56" s="265"/>
      <c r="G56" s="265"/>
      <c r="S56" s="4"/>
      <c r="T56" s="4"/>
      <c r="U56" s="5"/>
      <c r="V56" s="5"/>
      <c r="W56" s="5"/>
      <c r="X56" s="5"/>
      <c r="Y56" s="4"/>
      <c r="Z56" s="4"/>
      <c r="AA56" s="4"/>
    </row>
    <row r="57" spans="2:29" s="2" customFormat="1" x14ac:dyDescent="0.15">
      <c r="B57" s="265"/>
      <c r="C57" s="265"/>
      <c r="D57" s="265"/>
      <c r="E57" s="265"/>
      <c r="F57" s="265"/>
      <c r="G57" s="265"/>
      <c r="S57" s="4"/>
      <c r="T57" s="4"/>
      <c r="U57" s="5"/>
      <c r="V57" s="5"/>
      <c r="W57" s="5"/>
      <c r="X57" s="5"/>
      <c r="Y57" s="4"/>
      <c r="Z57" s="4"/>
      <c r="AA57" s="4"/>
    </row>
    <row r="58" spans="2:29" s="2" customFormat="1" x14ac:dyDescent="0.15">
      <c r="B58" s="265"/>
      <c r="C58" s="265"/>
      <c r="D58" s="265"/>
      <c r="E58" s="265"/>
      <c r="F58" s="265"/>
      <c r="G58" s="265"/>
      <c r="M58" s="4"/>
      <c r="N58" s="5"/>
      <c r="O58" s="4"/>
      <c r="P58" s="4"/>
      <c r="Q58" s="4"/>
      <c r="R58" s="4"/>
      <c r="S58" s="4"/>
      <c r="T58" s="4"/>
      <c r="U58" s="5"/>
      <c r="V58" s="5"/>
      <c r="W58" s="5"/>
      <c r="X58" s="5"/>
      <c r="Y58" s="4"/>
      <c r="Z58" s="4"/>
      <c r="AA58" s="4"/>
    </row>
    <row r="59" spans="2:29" s="2" customFormat="1" ht="14.25" customHeight="1" x14ac:dyDescent="0.15">
      <c r="B59" s="265" t="s">
        <v>316</v>
      </c>
      <c r="C59" s="265"/>
      <c r="D59" s="265"/>
      <c r="E59" s="265"/>
      <c r="F59" s="265"/>
      <c r="G59" s="265"/>
      <c r="M59" s="4"/>
      <c r="N59" s="5"/>
      <c r="O59" s="4"/>
      <c r="P59" s="4"/>
      <c r="Q59" s="4"/>
      <c r="R59" s="4"/>
      <c r="S59" s="4"/>
      <c r="T59" s="4"/>
      <c r="U59" s="5"/>
      <c r="V59" s="5"/>
      <c r="W59" s="5"/>
      <c r="X59" s="5"/>
      <c r="Y59" s="4"/>
      <c r="Z59" s="4"/>
      <c r="AA59" s="4"/>
    </row>
    <row r="60" spans="2:29" s="2" customFormat="1" x14ac:dyDescent="0.15">
      <c r="B60" s="265"/>
      <c r="C60" s="265"/>
      <c r="D60" s="265"/>
      <c r="E60" s="265"/>
      <c r="F60" s="265"/>
      <c r="G60" s="265"/>
      <c r="M60" s="4"/>
      <c r="N60" s="5"/>
      <c r="O60" s="4"/>
      <c r="P60" s="4"/>
      <c r="Q60" s="4"/>
      <c r="R60" s="4"/>
      <c r="S60" s="4"/>
      <c r="T60" s="4"/>
      <c r="U60" s="5"/>
      <c r="V60" s="5"/>
      <c r="W60" s="5"/>
      <c r="X60" s="5"/>
      <c r="Y60" s="4"/>
      <c r="Z60" s="4"/>
      <c r="AA60" s="4"/>
    </row>
    <row r="61" spans="2:29" s="2" customFormat="1" x14ac:dyDescent="0.15">
      <c r="B61" s="265"/>
      <c r="C61" s="265"/>
      <c r="D61" s="265"/>
      <c r="E61" s="265"/>
      <c r="F61" s="265"/>
      <c r="G61" s="265"/>
      <c r="M61" s="4"/>
      <c r="N61" s="5"/>
      <c r="O61" s="4"/>
      <c r="P61" s="4"/>
      <c r="Q61" s="4"/>
      <c r="R61" s="4"/>
      <c r="S61" s="4"/>
      <c r="T61" s="4"/>
      <c r="U61" s="5"/>
      <c r="V61" s="5"/>
      <c r="W61" s="5"/>
      <c r="X61" s="5"/>
      <c r="Y61" s="4"/>
      <c r="Z61" s="4"/>
      <c r="AA61" s="4"/>
    </row>
    <row r="62" spans="2:29" s="2" customFormat="1" x14ac:dyDescent="0.15">
      <c r="B62" s="265"/>
      <c r="C62" s="265"/>
      <c r="D62" s="265"/>
      <c r="E62" s="265"/>
      <c r="F62" s="265"/>
      <c r="G62" s="265"/>
      <c r="M62" s="4"/>
      <c r="N62" s="5"/>
      <c r="O62" s="4"/>
      <c r="P62" s="4"/>
      <c r="Q62" s="4"/>
      <c r="R62" s="4"/>
      <c r="S62" s="4"/>
      <c r="T62" s="4"/>
      <c r="U62" s="5"/>
      <c r="V62" s="5"/>
      <c r="W62" s="5"/>
      <c r="X62" s="5"/>
      <c r="Y62" s="4"/>
      <c r="Z62" s="4"/>
      <c r="AA62" s="4"/>
    </row>
    <row r="63" spans="2:29" s="2" customFormat="1" x14ac:dyDescent="0.15">
      <c r="B63" s="265"/>
      <c r="C63" s="265"/>
      <c r="D63" s="265"/>
      <c r="E63" s="265"/>
      <c r="F63" s="265"/>
      <c r="G63" s="265"/>
      <c r="M63" s="4"/>
      <c r="N63" s="5"/>
      <c r="O63" s="4"/>
      <c r="P63" s="4"/>
      <c r="Q63" s="4"/>
      <c r="R63" s="4"/>
      <c r="S63" s="4"/>
      <c r="T63" s="4"/>
      <c r="U63" s="5"/>
      <c r="V63" s="5"/>
      <c r="W63" s="5"/>
      <c r="X63" s="5"/>
      <c r="Y63" s="4"/>
      <c r="Z63" s="4"/>
      <c r="AA63" s="4"/>
    </row>
    <row r="64" spans="2:29" s="2" customFormat="1" x14ac:dyDescent="0.15">
      <c r="B64" s="265"/>
      <c r="C64" s="265"/>
      <c r="D64" s="265"/>
      <c r="E64" s="265"/>
      <c r="F64" s="265"/>
      <c r="G64" s="265"/>
      <c r="M64" s="4"/>
      <c r="N64" s="5"/>
      <c r="O64" s="4"/>
      <c r="P64" s="4"/>
      <c r="Q64" s="4"/>
      <c r="R64" s="4"/>
      <c r="S64" s="4"/>
      <c r="T64" s="4"/>
      <c r="U64" s="5"/>
      <c r="V64" s="5"/>
      <c r="W64" s="5"/>
      <c r="X64" s="5"/>
      <c r="Y64" s="4"/>
      <c r="Z64" s="4"/>
      <c r="AA64" s="4"/>
    </row>
    <row r="65" spans="2:27" s="2" customFormat="1" x14ac:dyDescent="0.15">
      <c r="B65" s="265"/>
      <c r="C65" s="265"/>
      <c r="D65" s="265"/>
      <c r="E65" s="265"/>
      <c r="F65" s="265"/>
      <c r="G65" s="265"/>
      <c r="M65" s="4"/>
      <c r="N65" s="5"/>
      <c r="O65" s="4"/>
      <c r="P65" s="4"/>
      <c r="Q65" s="4"/>
      <c r="R65" s="4"/>
      <c r="S65" s="4"/>
      <c r="T65" s="4"/>
      <c r="U65" s="5"/>
      <c r="V65" s="5"/>
      <c r="W65" s="5"/>
      <c r="X65" s="5"/>
      <c r="Y65" s="4"/>
      <c r="Z65" s="4"/>
      <c r="AA65" s="4"/>
    </row>
    <row r="66" spans="2:27" s="2" customFormat="1" x14ac:dyDescent="0.15">
      <c r="B66" s="265"/>
      <c r="C66" s="265"/>
      <c r="D66" s="265"/>
      <c r="E66" s="265"/>
      <c r="F66" s="265"/>
      <c r="G66" s="265"/>
      <c r="M66" s="4"/>
      <c r="N66" s="5"/>
      <c r="O66" s="4"/>
      <c r="P66" s="4"/>
      <c r="Q66" s="4"/>
      <c r="R66" s="4"/>
      <c r="S66" s="4"/>
      <c r="T66" s="4"/>
      <c r="U66" s="5"/>
      <c r="V66" s="5"/>
      <c r="W66" s="5"/>
      <c r="X66" s="5"/>
      <c r="Y66" s="4"/>
      <c r="Z66" s="4"/>
      <c r="AA66" s="4"/>
    </row>
    <row r="67" spans="2:27" s="2" customFormat="1" x14ac:dyDescent="0.15">
      <c r="B67" s="265"/>
      <c r="C67" s="265"/>
      <c r="D67" s="265"/>
      <c r="E67" s="265"/>
      <c r="F67" s="265"/>
      <c r="G67" s="265"/>
      <c r="M67" s="4"/>
      <c r="N67" s="5"/>
      <c r="O67" s="4"/>
      <c r="P67" s="4"/>
      <c r="Q67" s="4"/>
      <c r="R67" s="4"/>
      <c r="S67" s="4"/>
      <c r="T67" s="4"/>
      <c r="U67" s="5"/>
      <c r="V67" s="5"/>
      <c r="W67" s="5"/>
      <c r="X67" s="5"/>
      <c r="Y67" s="4"/>
      <c r="Z67" s="4"/>
      <c r="AA67" s="4"/>
    </row>
    <row r="68" spans="2:27" s="2" customFormat="1" x14ac:dyDescent="0.15">
      <c r="B68" s="265"/>
      <c r="C68" s="265"/>
      <c r="D68" s="265"/>
      <c r="E68" s="265"/>
      <c r="F68" s="265"/>
      <c r="G68" s="265"/>
      <c r="M68" s="4"/>
      <c r="N68" s="5"/>
      <c r="O68" s="4"/>
      <c r="P68" s="4"/>
      <c r="Q68" s="4"/>
      <c r="R68" s="4"/>
      <c r="S68" s="4"/>
      <c r="T68" s="4"/>
      <c r="U68" s="5"/>
      <c r="V68" s="5"/>
      <c r="W68" s="5"/>
      <c r="X68" s="5"/>
      <c r="Y68" s="4"/>
      <c r="Z68" s="4"/>
      <c r="AA68" s="4"/>
    </row>
    <row r="69" spans="2:27" s="2" customFormat="1" x14ac:dyDescent="0.15">
      <c r="B69" s="265"/>
      <c r="C69" s="265"/>
      <c r="D69" s="265"/>
      <c r="E69" s="265"/>
      <c r="F69" s="265"/>
      <c r="G69" s="265"/>
      <c r="M69" s="4"/>
      <c r="N69" s="5"/>
      <c r="O69" s="4"/>
      <c r="P69" s="4"/>
      <c r="Q69" s="4"/>
      <c r="R69" s="4"/>
      <c r="S69" s="4"/>
      <c r="T69" s="4"/>
      <c r="U69" s="5"/>
      <c r="V69" s="5"/>
      <c r="W69" s="5"/>
      <c r="X69" s="5"/>
      <c r="Y69" s="4"/>
      <c r="Z69" s="4"/>
      <c r="AA69" s="4"/>
    </row>
    <row r="70" spans="2:27" s="2" customFormat="1" x14ac:dyDescent="0.15">
      <c r="B70" s="265"/>
      <c r="C70" s="265"/>
      <c r="D70" s="265"/>
      <c r="E70" s="265"/>
      <c r="F70" s="265"/>
      <c r="G70" s="265"/>
      <c r="M70" s="4"/>
      <c r="N70" s="5"/>
      <c r="O70" s="4"/>
      <c r="P70" s="4"/>
      <c r="Q70" s="4"/>
      <c r="R70" s="4"/>
      <c r="S70" s="4"/>
      <c r="T70" s="4"/>
      <c r="U70" s="5"/>
      <c r="V70" s="5"/>
      <c r="W70" s="5"/>
      <c r="X70" s="5"/>
      <c r="Y70" s="4"/>
      <c r="Z70" s="4"/>
      <c r="AA70" s="4"/>
    </row>
    <row r="71" spans="2:27" s="2" customFormat="1" x14ac:dyDescent="0.15">
      <c r="B71" s="265"/>
      <c r="C71" s="265"/>
      <c r="D71" s="265"/>
      <c r="E71" s="265"/>
      <c r="F71" s="265"/>
      <c r="G71" s="265"/>
      <c r="M71" s="4"/>
      <c r="N71" s="5"/>
      <c r="O71" s="4"/>
      <c r="P71" s="4"/>
      <c r="Q71" s="4"/>
      <c r="R71" s="4"/>
      <c r="S71" s="4"/>
      <c r="T71" s="4"/>
      <c r="U71" s="5"/>
      <c r="V71" s="5"/>
      <c r="W71" s="5"/>
      <c r="X71" s="5"/>
      <c r="Y71" s="4"/>
      <c r="Z71" s="4"/>
      <c r="AA71" s="4"/>
    </row>
    <row r="72" spans="2:27" s="2" customFormat="1" x14ac:dyDescent="0.15">
      <c r="B72" s="265"/>
      <c r="C72" s="265"/>
      <c r="D72" s="265"/>
      <c r="E72" s="265"/>
      <c r="F72" s="265"/>
      <c r="G72" s="265"/>
      <c r="M72" s="4"/>
      <c r="N72" s="5"/>
      <c r="O72" s="4"/>
      <c r="P72" s="4"/>
      <c r="Q72" s="4"/>
      <c r="R72" s="4"/>
      <c r="S72" s="4"/>
      <c r="T72" s="4"/>
      <c r="U72" s="5"/>
      <c r="V72" s="5"/>
      <c r="W72" s="5"/>
      <c r="X72" s="5"/>
      <c r="Y72" s="4"/>
      <c r="Z72" s="4"/>
      <c r="AA72" s="4"/>
    </row>
    <row r="73" spans="2:27" s="2" customFormat="1" x14ac:dyDescent="0.15">
      <c r="B73" s="265"/>
      <c r="C73" s="265"/>
      <c r="D73" s="265"/>
      <c r="E73" s="265"/>
      <c r="F73" s="265"/>
      <c r="G73" s="265"/>
      <c r="M73" s="4"/>
      <c r="N73" s="5"/>
      <c r="O73" s="4"/>
      <c r="P73" s="4"/>
      <c r="Q73" s="4"/>
      <c r="R73" s="4"/>
      <c r="S73" s="4"/>
      <c r="T73" s="4"/>
      <c r="U73" s="5"/>
      <c r="V73" s="5"/>
      <c r="W73" s="5"/>
      <c r="X73" s="5"/>
      <c r="Y73" s="4"/>
      <c r="Z73" s="4"/>
      <c r="AA73" s="4"/>
    </row>
    <row r="74" spans="2:27" s="2" customFormat="1" x14ac:dyDescent="0.15">
      <c r="B74" s="265"/>
      <c r="C74" s="265"/>
      <c r="D74" s="265"/>
      <c r="E74" s="265"/>
      <c r="F74" s="265"/>
      <c r="G74" s="265"/>
      <c r="M74" s="4"/>
      <c r="N74" s="5"/>
      <c r="O74" s="4"/>
      <c r="P74" s="4"/>
      <c r="Q74" s="4"/>
      <c r="R74" s="4"/>
      <c r="S74" s="4"/>
      <c r="T74" s="4"/>
      <c r="U74" s="5"/>
      <c r="V74" s="5"/>
      <c r="W74" s="5"/>
      <c r="X74" s="5"/>
      <c r="Y74" s="4"/>
      <c r="Z74" s="4"/>
      <c r="AA74" s="4"/>
    </row>
    <row r="75" spans="2:27" s="2" customFormat="1" x14ac:dyDescent="0.15">
      <c r="B75" s="265"/>
      <c r="C75" s="265"/>
      <c r="D75" s="265"/>
      <c r="E75" s="265"/>
      <c r="F75" s="265"/>
      <c r="G75" s="265"/>
      <c r="M75" s="4"/>
      <c r="N75" s="5"/>
      <c r="O75" s="4"/>
      <c r="P75" s="4"/>
      <c r="Q75" s="4"/>
      <c r="R75" s="4"/>
      <c r="S75" s="4"/>
      <c r="T75" s="4"/>
      <c r="U75" s="5"/>
      <c r="V75" s="5"/>
      <c r="W75" s="5"/>
      <c r="X75" s="5"/>
      <c r="Y75" s="4"/>
      <c r="Z75" s="4"/>
      <c r="AA75" s="4"/>
    </row>
    <row r="76" spans="2:27" s="2" customFormat="1" x14ac:dyDescent="0.15">
      <c r="B76" s="265"/>
      <c r="C76" s="265"/>
      <c r="D76" s="265"/>
      <c r="E76" s="265"/>
      <c r="F76" s="265"/>
      <c r="G76" s="265"/>
      <c r="M76" s="4"/>
      <c r="N76" s="5"/>
      <c r="O76" s="4"/>
      <c r="P76" s="4"/>
      <c r="Q76" s="4"/>
      <c r="R76" s="4"/>
      <c r="S76" s="4"/>
      <c r="T76" s="4"/>
      <c r="U76" s="5"/>
      <c r="V76" s="5"/>
      <c r="W76" s="5"/>
      <c r="X76" s="5"/>
      <c r="Y76" s="4"/>
      <c r="Z76" s="4"/>
      <c r="AA76" s="4"/>
    </row>
    <row r="77" spans="2:27" s="2" customFormat="1" x14ac:dyDescent="0.15">
      <c r="B77" s="265"/>
      <c r="C77" s="265"/>
      <c r="D77" s="265"/>
      <c r="E77" s="265"/>
      <c r="F77" s="265"/>
      <c r="G77" s="265"/>
      <c r="M77" s="4"/>
      <c r="N77" s="5"/>
      <c r="O77" s="4"/>
      <c r="P77" s="4"/>
      <c r="Q77" s="4"/>
      <c r="R77" s="4"/>
      <c r="S77" s="4"/>
      <c r="T77" s="4"/>
      <c r="U77" s="5"/>
      <c r="V77" s="5"/>
      <c r="W77" s="5"/>
      <c r="X77" s="5"/>
      <c r="Y77" s="4"/>
      <c r="Z77" s="4"/>
      <c r="AA77" s="4"/>
    </row>
    <row r="78" spans="2:27" s="2" customFormat="1" x14ac:dyDescent="0.15">
      <c r="B78" s="265"/>
      <c r="C78" s="265"/>
      <c r="D78" s="265"/>
      <c r="E78" s="265"/>
      <c r="F78" s="265"/>
      <c r="G78" s="265"/>
      <c r="M78" s="4"/>
      <c r="N78" s="5"/>
      <c r="O78" s="4"/>
      <c r="P78" s="4"/>
      <c r="Q78" s="4"/>
      <c r="R78" s="4"/>
      <c r="S78" s="4"/>
      <c r="T78" s="4"/>
      <c r="U78" s="5"/>
      <c r="V78" s="5"/>
      <c r="W78" s="5"/>
      <c r="X78" s="5"/>
      <c r="Y78" s="4"/>
      <c r="Z78" s="4"/>
      <c r="AA78" s="4"/>
    </row>
    <row r="79" spans="2:27" s="2" customFormat="1" x14ac:dyDescent="0.15">
      <c r="B79" s="265"/>
      <c r="C79" s="265"/>
      <c r="D79" s="265"/>
      <c r="E79" s="265"/>
      <c r="F79" s="265"/>
      <c r="G79" s="265"/>
      <c r="M79" s="4"/>
      <c r="N79" s="5"/>
      <c r="O79" s="4"/>
      <c r="P79" s="4"/>
      <c r="Q79" s="4"/>
      <c r="R79" s="4"/>
      <c r="S79" s="4"/>
      <c r="T79" s="4"/>
      <c r="U79" s="5"/>
      <c r="V79" s="5"/>
      <c r="W79" s="5"/>
      <c r="X79" s="5"/>
      <c r="Y79" s="4"/>
      <c r="Z79" s="4"/>
      <c r="AA79" s="4"/>
    </row>
    <row r="80" spans="2:27" s="2" customFormat="1" x14ac:dyDescent="0.15">
      <c r="B80" s="265"/>
      <c r="C80" s="265"/>
      <c r="D80" s="265"/>
      <c r="E80" s="265"/>
      <c r="F80" s="265"/>
      <c r="G80" s="265"/>
      <c r="M80" s="4"/>
      <c r="N80" s="5"/>
      <c r="O80" s="4"/>
      <c r="P80" s="4"/>
      <c r="Q80" s="4"/>
      <c r="R80" s="4"/>
      <c r="S80" s="4"/>
      <c r="T80" s="4"/>
      <c r="U80" s="5"/>
      <c r="V80" s="5"/>
      <c r="W80" s="5"/>
      <c r="X80" s="5"/>
      <c r="Y80" s="4"/>
      <c r="Z80" s="4"/>
      <c r="AA80" s="4"/>
    </row>
    <row r="81" spans="2:27" s="2" customFormat="1" x14ac:dyDescent="0.15">
      <c r="B81" s="265"/>
      <c r="C81" s="265"/>
      <c r="D81" s="265"/>
      <c r="E81" s="265"/>
      <c r="F81" s="265"/>
      <c r="G81" s="265"/>
      <c r="M81" s="4"/>
      <c r="N81" s="5"/>
      <c r="O81" s="4"/>
      <c r="P81" s="4"/>
      <c r="Q81" s="4"/>
      <c r="R81" s="4"/>
      <c r="S81" s="4"/>
      <c r="T81" s="4"/>
      <c r="U81" s="5"/>
      <c r="V81" s="5"/>
      <c r="W81" s="5"/>
      <c r="X81" s="5"/>
      <c r="Y81" s="4"/>
      <c r="Z81" s="4"/>
      <c r="AA81" s="4"/>
    </row>
    <row r="82" spans="2:27" s="2" customFormat="1" x14ac:dyDescent="0.15">
      <c r="B82" s="265"/>
      <c r="C82" s="265"/>
      <c r="D82" s="265"/>
      <c r="E82" s="265"/>
      <c r="F82" s="265"/>
      <c r="G82" s="265"/>
      <c r="M82" s="4"/>
      <c r="N82" s="5"/>
      <c r="O82" s="4"/>
      <c r="P82" s="4"/>
      <c r="Q82" s="4"/>
      <c r="R82" s="4"/>
      <c r="S82" s="4"/>
      <c r="T82" s="4"/>
      <c r="U82" s="5"/>
      <c r="V82" s="5"/>
      <c r="W82" s="5"/>
      <c r="X82" s="5"/>
      <c r="Y82" s="4"/>
      <c r="Z82" s="4"/>
      <c r="AA82" s="4"/>
    </row>
    <row r="83" spans="2:27" s="2" customFormat="1" x14ac:dyDescent="0.15">
      <c r="B83" s="265"/>
      <c r="C83" s="265"/>
      <c r="D83" s="265"/>
      <c r="E83" s="265"/>
      <c r="F83" s="265"/>
      <c r="G83" s="265"/>
      <c r="M83" s="4"/>
      <c r="N83" s="5"/>
      <c r="O83" s="4"/>
      <c r="P83" s="4"/>
      <c r="Q83" s="4"/>
      <c r="R83" s="4"/>
      <c r="S83" s="4"/>
      <c r="T83" s="4"/>
      <c r="U83" s="5"/>
      <c r="V83" s="5"/>
      <c r="W83" s="5"/>
      <c r="X83" s="5"/>
      <c r="Y83" s="4"/>
      <c r="Z83" s="4"/>
      <c r="AA83" s="4"/>
    </row>
    <row r="84" spans="2:27" s="2" customFormat="1" x14ac:dyDescent="0.15">
      <c r="B84" s="266" t="s">
        <v>317</v>
      </c>
      <c r="C84" s="266"/>
      <c r="D84" s="266"/>
      <c r="E84" s="266"/>
      <c r="F84" s="266"/>
      <c r="G84" s="266"/>
      <c r="M84" s="4"/>
      <c r="N84" s="5"/>
      <c r="O84" s="4"/>
      <c r="P84" s="4"/>
      <c r="Q84" s="4"/>
      <c r="R84" s="4"/>
      <c r="S84" s="4"/>
      <c r="T84" s="4"/>
      <c r="U84" s="5"/>
      <c r="V84" s="5"/>
      <c r="W84" s="5"/>
      <c r="X84" s="5"/>
      <c r="Y84" s="4"/>
      <c r="Z84" s="4"/>
      <c r="AA84" s="4"/>
    </row>
    <row r="85" spans="2:27" s="2" customFormat="1" x14ac:dyDescent="0.15">
      <c r="B85" s="266"/>
      <c r="C85" s="266"/>
      <c r="D85" s="266"/>
      <c r="E85" s="266"/>
      <c r="F85" s="266"/>
      <c r="G85" s="266"/>
      <c r="M85" s="4"/>
      <c r="N85" s="5"/>
      <c r="O85" s="4"/>
      <c r="P85" s="4"/>
      <c r="Q85" s="4"/>
      <c r="R85" s="4"/>
      <c r="S85" s="4"/>
      <c r="T85" s="4"/>
      <c r="U85" s="5"/>
      <c r="V85" s="5"/>
      <c r="W85" s="5"/>
      <c r="X85" s="5"/>
      <c r="Y85" s="4"/>
      <c r="Z85" s="4"/>
      <c r="AA85" s="4"/>
    </row>
    <row r="86" spans="2:27" s="2" customFormat="1" x14ac:dyDescent="0.15">
      <c r="B86" s="266"/>
      <c r="C86" s="266"/>
      <c r="D86" s="266"/>
      <c r="E86" s="266"/>
      <c r="F86" s="266"/>
      <c r="G86" s="266"/>
      <c r="M86" s="4"/>
      <c r="N86" s="5"/>
      <c r="O86" s="4"/>
      <c r="P86" s="4"/>
      <c r="Q86" s="4"/>
      <c r="R86" s="4"/>
      <c r="S86" s="4"/>
      <c r="T86" s="4"/>
      <c r="U86" s="5"/>
      <c r="V86" s="5"/>
      <c r="W86" s="5"/>
      <c r="X86" s="5"/>
      <c r="Y86" s="4"/>
      <c r="Z86" s="4"/>
      <c r="AA86" s="4"/>
    </row>
    <row r="87" spans="2:27" s="2" customFormat="1" x14ac:dyDescent="0.15">
      <c r="B87" s="266"/>
      <c r="C87" s="266"/>
      <c r="D87" s="266"/>
      <c r="E87" s="266"/>
      <c r="F87" s="266"/>
      <c r="G87" s="266"/>
      <c r="M87" s="4"/>
      <c r="N87" s="5"/>
      <c r="O87" s="4"/>
      <c r="P87" s="4"/>
      <c r="Q87" s="4"/>
      <c r="R87" s="4"/>
      <c r="S87" s="4"/>
      <c r="T87" s="4"/>
      <c r="U87" s="5"/>
      <c r="V87" s="5"/>
      <c r="W87" s="5"/>
      <c r="X87" s="5"/>
      <c r="Y87" s="4"/>
      <c r="Z87" s="4"/>
      <c r="AA87" s="4"/>
    </row>
    <row r="88" spans="2:27" s="2" customFormat="1" x14ac:dyDescent="0.15">
      <c r="B88" s="266"/>
      <c r="C88" s="266"/>
      <c r="D88" s="266"/>
      <c r="E88" s="266"/>
      <c r="F88" s="266"/>
      <c r="G88" s="266"/>
      <c r="M88" s="4"/>
      <c r="N88" s="5"/>
      <c r="O88" s="4"/>
      <c r="P88" s="4"/>
      <c r="Q88" s="4"/>
      <c r="R88" s="4"/>
      <c r="S88" s="4"/>
      <c r="T88" s="4"/>
      <c r="U88" s="5"/>
      <c r="V88" s="5"/>
      <c r="W88" s="5"/>
      <c r="X88" s="5"/>
      <c r="Y88" s="4"/>
      <c r="Z88" s="4"/>
      <c r="AA88" s="4"/>
    </row>
    <row r="89" spans="2:27" s="2" customFormat="1" x14ac:dyDescent="0.15">
      <c r="B89" s="266"/>
      <c r="C89" s="266"/>
      <c r="D89" s="266"/>
      <c r="E89" s="266"/>
      <c r="F89" s="266"/>
      <c r="G89" s="266"/>
      <c r="M89" s="4"/>
      <c r="N89" s="5"/>
      <c r="O89" s="4"/>
      <c r="P89" s="4"/>
      <c r="Q89" s="4"/>
      <c r="R89" s="4"/>
      <c r="S89" s="4"/>
      <c r="T89" s="4"/>
      <c r="U89" s="5"/>
      <c r="V89" s="5"/>
      <c r="W89" s="5"/>
      <c r="X89" s="5"/>
      <c r="Y89" s="4"/>
      <c r="Z89" s="4"/>
      <c r="AA89" s="4"/>
    </row>
    <row r="90" spans="2:27" s="2" customFormat="1" x14ac:dyDescent="0.15">
      <c r="B90" s="266"/>
      <c r="C90" s="266"/>
      <c r="D90" s="266"/>
      <c r="E90" s="266"/>
      <c r="F90" s="266"/>
      <c r="G90" s="266"/>
      <c r="M90" s="4"/>
      <c r="N90" s="5"/>
      <c r="O90" s="4"/>
      <c r="P90" s="4"/>
      <c r="Q90" s="4"/>
      <c r="R90" s="4"/>
      <c r="S90" s="4"/>
      <c r="T90" s="4"/>
      <c r="U90" s="5"/>
      <c r="V90" s="5"/>
      <c r="W90" s="5"/>
      <c r="X90" s="5"/>
      <c r="Y90" s="4"/>
      <c r="Z90" s="4"/>
      <c r="AA90" s="4"/>
    </row>
    <row r="91" spans="2:27" s="2" customFormat="1" x14ac:dyDescent="0.15">
      <c r="B91" s="266"/>
      <c r="C91" s="266"/>
      <c r="D91" s="266"/>
      <c r="E91" s="266"/>
      <c r="F91" s="266"/>
      <c r="G91" s="266"/>
      <c r="M91" s="4"/>
      <c r="N91" s="5"/>
      <c r="O91" s="4"/>
      <c r="P91" s="4"/>
      <c r="Q91" s="4"/>
      <c r="R91" s="4"/>
      <c r="S91" s="4"/>
      <c r="T91" s="4"/>
      <c r="U91" s="5"/>
      <c r="V91" s="5"/>
      <c r="W91" s="5"/>
      <c r="X91" s="5"/>
      <c r="Y91" s="4"/>
      <c r="Z91" s="4"/>
      <c r="AA91" s="4"/>
    </row>
    <row r="92" spans="2:27" s="2" customFormat="1" x14ac:dyDescent="0.15">
      <c r="B92" s="266"/>
      <c r="C92" s="266"/>
      <c r="D92" s="266"/>
      <c r="E92" s="266"/>
      <c r="F92" s="266"/>
      <c r="G92" s="266"/>
      <c r="M92" s="4"/>
      <c r="N92" s="5"/>
      <c r="O92" s="4"/>
      <c r="P92" s="4"/>
      <c r="Q92" s="4"/>
      <c r="R92" s="4"/>
      <c r="S92" s="4"/>
      <c r="T92" s="4"/>
      <c r="U92" s="5"/>
      <c r="V92" s="5"/>
      <c r="W92" s="5"/>
      <c r="X92" s="5"/>
      <c r="Y92" s="4"/>
      <c r="Z92" s="4"/>
      <c r="AA92" s="4"/>
    </row>
    <row r="93" spans="2:27" s="2" customFormat="1" x14ac:dyDescent="0.15">
      <c r="B93" s="266"/>
      <c r="C93" s="266"/>
      <c r="D93" s="266"/>
      <c r="E93" s="266"/>
      <c r="F93" s="266"/>
      <c r="G93" s="266"/>
      <c r="M93" s="4"/>
      <c r="N93" s="5"/>
      <c r="O93" s="4"/>
      <c r="P93" s="4"/>
      <c r="Q93" s="4"/>
      <c r="R93" s="4"/>
      <c r="S93" s="4"/>
      <c r="T93" s="4"/>
      <c r="U93" s="5"/>
      <c r="V93" s="5"/>
      <c r="W93" s="5"/>
      <c r="X93" s="5"/>
      <c r="Y93" s="4"/>
      <c r="Z93" s="4"/>
      <c r="AA93" s="4"/>
    </row>
    <row r="94" spans="2:27" s="2" customFormat="1" ht="51.95" customHeight="1" x14ac:dyDescent="0.15">
      <c r="B94" s="266"/>
      <c r="C94" s="266"/>
      <c r="D94" s="266"/>
      <c r="E94" s="266"/>
      <c r="F94" s="266"/>
      <c r="G94" s="266"/>
      <c r="M94" s="4"/>
      <c r="N94" s="5"/>
      <c r="O94" s="4"/>
      <c r="P94" s="4"/>
      <c r="Q94" s="4"/>
      <c r="R94" s="4"/>
      <c r="S94" s="4"/>
      <c r="T94" s="4"/>
      <c r="U94" s="5"/>
      <c r="V94" s="5"/>
      <c r="W94" s="5"/>
      <c r="X94" s="5"/>
      <c r="Y94" s="4"/>
      <c r="Z94" s="4"/>
      <c r="AA94" s="4"/>
    </row>
    <row r="95" spans="2:27" s="2" customFormat="1" x14ac:dyDescent="0.15">
      <c r="B95" s="266"/>
      <c r="C95" s="266"/>
      <c r="D95" s="266"/>
      <c r="E95" s="266"/>
      <c r="F95" s="266"/>
      <c r="G95" s="266"/>
      <c r="M95" s="4"/>
      <c r="N95" s="5"/>
      <c r="O95" s="4"/>
      <c r="P95" s="4"/>
      <c r="Q95" s="4"/>
      <c r="R95" s="4"/>
      <c r="S95" s="4"/>
      <c r="T95" s="4"/>
      <c r="U95" s="5"/>
      <c r="V95" s="5"/>
      <c r="W95" s="5"/>
      <c r="X95" s="5"/>
      <c r="Y95" s="4"/>
      <c r="Z95" s="4"/>
      <c r="AA95" s="4"/>
    </row>
    <row r="96" spans="2:27" s="2" customFormat="1" ht="57" customHeight="1" x14ac:dyDescent="0.15">
      <c r="B96" s="266"/>
      <c r="C96" s="266"/>
      <c r="D96" s="266"/>
      <c r="E96" s="266"/>
      <c r="F96" s="266"/>
      <c r="G96" s="266"/>
      <c r="M96" s="4"/>
      <c r="N96" s="5"/>
      <c r="O96" s="4"/>
      <c r="P96" s="4"/>
      <c r="Q96" s="4"/>
      <c r="R96" s="4"/>
      <c r="S96" s="4"/>
      <c r="T96" s="4"/>
      <c r="U96" s="5"/>
      <c r="V96" s="5"/>
      <c r="W96" s="5"/>
      <c r="X96" s="5"/>
      <c r="Y96" s="4"/>
      <c r="Z96" s="4"/>
      <c r="AA96" s="4"/>
    </row>
    <row r="97" spans="2:27" s="2" customFormat="1" x14ac:dyDescent="0.15">
      <c r="B97" s="266"/>
      <c r="C97" s="266"/>
      <c r="D97" s="266"/>
      <c r="E97" s="266"/>
      <c r="F97" s="266"/>
      <c r="G97" s="266"/>
      <c r="M97" s="4"/>
      <c r="N97" s="5"/>
      <c r="O97" s="4"/>
      <c r="P97" s="4"/>
      <c r="Q97" s="4"/>
      <c r="R97" s="4"/>
      <c r="S97" s="4"/>
      <c r="T97" s="4"/>
      <c r="U97" s="5"/>
      <c r="V97" s="5"/>
      <c r="W97" s="5"/>
      <c r="X97" s="5"/>
      <c r="Y97" s="4"/>
      <c r="Z97" s="4"/>
      <c r="AA97" s="4"/>
    </row>
    <row r="98" spans="2:27" s="2" customFormat="1" x14ac:dyDescent="0.15">
      <c r="B98" s="266"/>
      <c r="C98" s="266"/>
      <c r="D98" s="266"/>
      <c r="E98" s="266"/>
      <c r="F98" s="266"/>
      <c r="G98" s="266"/>
      <c r="M98" s="4"/>
      <c r="N98" s="5"/>
      <c r="O98" s="4"/>
      <c r="P98" s="4"/>
      <c r="Q98" s="4"/>
      <c r="R98" s="4"/>
      <c r="S98" s="4"/>
      <c r="T98" s="4"/>
      <c r="U98" s="5"/>
      <c r="V98" s="5"/>
      <c r="W98" s="5"/>
      <c r="X98" s="5"/>
      <c r="Y98" s="4"/>
      <c r="Z98" s="4"/>
      <c r="AA98" s="4"/>
    </row>
    <row r="99" spans="2:27" s="2" customFormat="1" x14ac:dyDescent="0.15">
      <c r="B99" s="266"/>
      <c r="C99" s="266"/>
      <c r="D99" s="266"/>
      <c r="E99" s="266"/>
      <c r="F99" s="266"/>
      <c r="G99" s="266"/>
      <c r="M99" s="4"/>
      <c r="N99" s="5"/>
      <c r="O99" s="4"/>
      <c r="P99" s="4"/>
      <c r="Q99" s="4"/>
      <c r="R99" s="4"/>
      <c r="S99" s="4"/>
      <c r="T99" s="4"/>
      <c r="U99" s="5"/>
      <c r="V99" s="5"/>
      <c r="W99" s="5"/>
      <c r="X99" s="5"/>
      <c r="Y99" s="4"/>
      <c r="Z99" s="4"/>
      <c r="AA99" s="4"/>
    </row>
    <row r="100" spans="2:27" s="2" customFormat="1" x14ac:dyDescent="0.15">
      <c r="B100" s="266"/>
      <c r="C100" s="266"/>
      <c r="D100" s="266"/>
      <c r="E100" s="266"/>
      <c r="F100" s="266"/>
      <c r="G100" s="266"/>
      <c r="M100" s="4"/>
      <c r="N100" s="5"/>
      <c r="O100" s="4"/>
      <c r="P100" s="4"/>
      <c r="Q100" s="4"/>
      <c r="R100" s="4"/>
      <c r="S100" s="4"/>
      <c r="T100" s="4"/>
      <c r="U100" s="5"/>
      <c r="V100" s="5"/>
      <c r="W100" s="5"/>
      <c r="X100" s="5"/>
      <c r="Y100" s="4"/>
      <c r="Z100" s="4"/>
      <c r="AA100" s="4"/>
    </row>
    <row r="101" spans="2:27" s="2" customFormat="1" ht="68.099999999999994" customHeight="1" x14ac:dyDescent="0.15">
      <c r="B101" s="266"/>
      <c r="C101" s="266"/>
      <c r="D101" s="266"/>
      <c r="E101" s="266"/>
      <c r="F101" s="266"/>
      <c r="G101" s="266"/>
      <c r="M101" s="4"/>
      <c r="N101" s="5"/>
      <c r="O101" s="4"/>
      <c r="P101" s="4"/>
      <c r="Q101" s="4"/>
      <c r="R101" s="4"/>
      <c r="S101" s="4"/>
      <c r="T101" s="4"/>
      <c r="U101" s="5"/>
      <c r="V101" s="5"/>
      <c r="W101" s="5"/>
      <c r="X101" s="5"/>
      <c r="Y101" s="4"/>
      <c r="Z101" s="4"/>
      <c r="AA101" s="4"/>
    </row>
    <row r="102" spans="2:27" s="2" customFormat="1" ht="32.1" customHeight="1" x14ac:dyDescent="0.15">
      <c r="B102" s="266"/>
      <c r="C102" s="266"/>
      <c r="D102" s="266"/>
      <c r="E102" s="266"/>
      <c r="F102" s="266"/>
      <c r="G102" s="266"/>
      <c r="M102" s="4"/>
      <c r="N102" s="5"/>
      <c r="O102" s="4"/>
      <c r="P102" s="4"/>
      <c r="Q102" s="4"/>
      <c r="R102" s="4"/>
      <c r="S102" s="4"/>
      <c r="T102" s="4"/>
      <c r="U102" s="5"/>
      <c r="V102" s="5"/>
      <c r="W102" s="5"/>
      <c r="X102" s="5"/>
      <c r="Y102" s="4"/>
      <c r="Z102" s="4"/>
      <c r="AA102" s="4"/>
    </row>
    <row r="103" spans="2:27" s="2" customFormat="1" x14ac:dyDescent="0.15">
      <c r="B103" s="266"/>
      <c r="C103" s="266"/>
      <c r="D103" s="266"/>
      <c r="E103" s="266"/>
      <c r="F103" s="266"/>
      <c r="G103" s="266"/>
      <c r="M103" s="4"/>
      <c r="N103" s="5"/>
      <c r="O103" s="4"/>
      <c r="P103" s="4"/>
      <c r="Q103" s="4"/>
      <c r="R103" s="4"/>
      <c r="S103" s="4"/>
      <c r="T103" s="4"/>
      <c r="U103" s="5"/>
      <c r="V103" s="5"/>
      <c r="W103" s="5"/>
      <c r="X103" s="5"/>
      <c r="Y103" s="4"/>
      <c r="Z103" s="4"/>
      <c r="AA103" s="4"/>
    </row>
    <row r="104" spans="2:27" s="2" customFormat="1" x14ac:dyDescent="0.15">
      <c r="B104" s="266"/>
      <c r="C104" s="266"/>
      <c r="D104" s="266"/>
      <c r="E104" s="266"/>
      <c r="F104" s="266"/>
      <c r="G104" s="266"/>
      <c r="M104" s="4"/>
      <c r="N104" s="5"/>
      <c r="O104" s="4"/>
      <c r="P104" s="4"/>
      <c r="Q104" s="4"/>
      <c r="R104" s="4"/>
      <c r="S104" s="4"/>
      <c r="T104" s="4"/>
      <c r="U104" s="5"/>
      <c r="V104" s="5"/>
      <c r="W104" s="5"/>
      <c r="X104" s="5"/>
      <c r="Y104" s="4"/>
      <c r="Z104" s="4"/>
      <c r="AA104" s="4"/>
    </row>
    <row r="105" spans="2:27" s="2" customFormat="1" x14ac:dyDescent="0.15">
      <c r="B105" s="266"/>
      <c r="C105" s="266"/>
      <c r="D105" s="266"/>
      <c r="E105" s="266"/>
      <c r="F105" s="266"/>
      <c r="G105" s="266"/>
      <c r="M105" s="4"/>
      <c r="N105" s="5"/>
      <c r="O105" s="4"/>
      <c r="P105" s="4"/>
      <c r="Q105" s="4"/>
      <c r="R105" s="4"/>
      <c r="S105" s="4"/>
      <c r="T105" s="4"/>
      <c r="U105" s="5"/>
      <c r="V105" s="5"/>
      <c r="W105" s="5"/>
      <c r="X105" s="5"/>
      <c r="Y105" s="4"/>
      <c r="Z105" s="4"/>
      <c r="AA105" s="4"/>
    </row>
    <row r="106" spans="2:27" s="2" customFormat="1" x14ac:dyDescent="0.15">
      <c r="B106" s="266"/>
      <c r="C106" s="266"/>
      <c r="D106" s="266"/>
      <c r="E106" s="266"/>
      <c r="F106" s="266"/>
      <c r="G106" s="266"/>
      <c r="M106" s="4"/>
      <c r="N106" s="5"/>
      <c r="O106" s="4"/>
      <c r="P106" s="4"/>
      <c r="Q106" s="4"/>
      <c r="R106" s="4"/>
      <c r="S106" s="4"/>
      <c r="T106" s="4"/>
      <c r="U106" s="5"/>
      <c r="V106" s="5"/>
      <c r="W106" s="5"/>
      <c r="X106" s="5"/>
      <c r="Y106" s="4"/>
      <c r="Z106" s="4"/>
      <c r="AA106" s="4"/>
    </row>
    <row r="107" spans="2:27" s="2" customFormat="1" x14ac:dyDescent="0.15">
      <c r="M107" s="4"/>
      <c r="N107" s="5"/>
      <c r="O107" s="4"/>
      <c r="P107" s="4"/>
      <c r="Q107" s="4"/>
      <c r="R107" s="4"/>
      <c r="S107" s="4"/>
      <c r="T107" s="4"/>
      <c r="U107" s="5"/>
      <c r="V107" s="5"/>
      <c r="W107" s="5"/>
      <c r="X107" s="5"/>
      <c r="Y107" s="4"/>
      <c r="Z107" s="4"/>
      <c r="AA107" s="4"/>
    </row>
    <row r="108" spans="2:27" s="2" customFormat="1" x14ac:dyDescent="0.15">
      <c r="M108" s="4"/>
      <c r="N108" s="5"/>
      <c r="O108" s="4"/>
      <c r="P108" s="4"/>
      <c r="Q108" s="4"/>
      <c r="R108" s="4"/>
      <c r="S108" s="4"/>
      <c r="T108" s="4"/>
      <c r="U108" s="5"/>
      <c r="V108" s="5"/>
      <c r="W108" s="5"/>
      <c r="X108" s="5"/>
      <c r="Y108" s="4"/>
      <c r="Z108" s="4"/>
      <c r="AA108" s="4"/>
    </row>
    <row r="109" spans="2:27" s="2" customFormat="1" x14ac:dyDescent="0.15">
      <c r="M109" s="4"/>
      <c r="N109" s="5"/>
      <c r="O109" s="4"/>
      <c r="P109" s="4"/>
      <c r="Q109" s="4"/>
      <c r="R109" s="4"/>
      <c r="S109" s="4"/>
      <c r="T109" s="4"/>
      <c r="U109" s="5"/>
      <c r="V109" s="5"/>
      <c r="W109" s="5"/>
      <c r="X109" s="5"/>
      <c r="Y109" s="4"/>
      <c r="Z109" s="4"/>
      <c r="AA109" s="4"/>
    </row>
    <row r="110" spans="2:27" s="2" customFormat="1" x14ac:dyDescent="0.15">
      <c r="M110" s="4"/>
      <c r="N110" s="5"/>
      <c r="O110" s="4"/>
      <c r="P110" s="4"/>
      <c r="Q110" s="4"/>
      <c r="R110" s="4"/>
      <c r="S110" s="4"/>
      <c r="T110" s="4"/>
      <c r="U110" s="5"/>
      <c r="V110" s="5"/>
      <c r="W110" s="5"/>
      <c r="X110" s="5"/>
      <c r="Y110" s="4"/>
      <c r="Z110" s="4"/>
      <c r="AA110" s="4"/>
    </row>
    <row r="111" spans="2:27" s="2" customFormat="1" x14ac:dyDescent="0.15">
      <c r="M111" s="4"/>
      <c r="N111" s="5"/>
      <c r="O111" s="4"/>
      <c r="P111" s="4"/>
      <c r="Q111" s="4"/>
      <c r="R111" s="4"/>
      <c r="S111" s="4"/>
      <c r="T111" s="4"/>
      <c r="U111" s="5"/>
      <c r="V111" s="5"/>
      <c r="W111" s="5"/>
      <c r="X111" s="5"/>
      <c r="Y111" s="4"/>
      <c r="Z111" s="4"/>
      <c r="AA111" s="4"/>
    </row>
    <row r="112" spans="2:27" s="2" customFormat="1" x14ac:dyDescent="0.15">
      <c r="M112" s="4"/>
      <c r="N112" s="5"/>
      <c r="O112" s="4"/>
      <c r="P112" s="4"/>
      <c r="Q112" s="4"/>
      <c r="R112" s="4"/>
      <c r="S112" s="4"/>
      <c r="T112" s="4"/>
      <c r="U112" s="5"/>
      <c r="V112" s="5"/>
      <c r="W112" s="5"/>
      <c r="X112" s="5"/>
      <c r="Y112" s="4"/>
      <c r="Z112" s="4"/>
      <c r="AA112" s="4"/>
    </row>
    <row r="113" spans="2:27" s="2" customFormat="1" x14ac:dyDescent="0.15">
      <c r="M113" s="4"/>
      <c r="N113" s="5"/>
      <c r="O113" s="4"/>
      <c r="P113" s="4"/>
      <c r="Q113" s="4"/>
      <c r="R113" s="4"/>
      <c r="S113" s="4"/>
      <c r="T113" s="4"/>
      <c r="U113" s="5"/>
      <c r="V113" s="5"/>
      <c r="W113" s="5"/>
      <c r="X113" s="5"/>
      <c r="Y113" s="4"/>
      <c r="Z113" s="4"/>
      <c r="AA113" s="4"/>
    </row>
    <row r="114" spans="2:27" s="2" customFormat="1" x14ac:dyDescent="0.15">
      <c r="M114" s="4"/>
      <c r="N114" s="5"/>
      <c r="O114" s="4"/>
      <c r="P114" s="4"/>
      <c r="Q114" s="4"/>
      <c r="R114" s="4"/>
      <c r="S114" s="4"/>
      <c r="T114" s="4"/>
      <c r="U114" s="5"/>
      <c r="V114" s="5"/>
      <c r="W114" s="5"/>
      <c r="X114" s="5"/>
      <c r="Y114" s="4"/>
      <c r="Z114" s="4"/>
      <c r="AA114" s="4"/>
    </row>
    <row r="115" spans="2:27" s="2" customFormat="1" x14ac:dyDescent="0.15">
      <c r="M115" s="4"/>
      <c r="N115" s="5"/>
      <c r="O115" s="4"/>
      <c r="P115" s="4"/>
      <c r="Q115" s="4"/>
      <c r="R115" s="4"/>
      <c r="S115" s="4"/>
      <c r="T115" s="4"/>
      <c r="U115" s="5"/>
      <c r="V115" s="5"/>
      <c r="W115" s="5"/>
      <c r="X115" s="5"/>
      <c r="Y115" s="4"/>
      <c r="Z115" s="4"/>
      <c r="AA115" s="4"/>
    </row>
    <row r="116" spans="2:27" s="2" customFormat="1" x14ac:dyDescent="0.15">
      <c r="M116" s="4"/>
      <c r="N116" s="5"/>
      <c r="O116" s="4"/>
      <c r="P116" s="4"/>
      <c r="Q116" s="4"/>
      <c r="R116" s="4"/>
      <c r="S116" s="4"/>
      <c r="T116" s="4"/>
      <c r="U116" s="5"/>
      <c r="V116" s="5"/>
      <c r="W116" s="5"/>
      <c r="X116" s="5"/>
      <c r="Y116" s="4"/>
      <c r="Z116" s="4"/>
      <c r="AA116" s="4"/>
    </row>
    <row r="117" spans="2:27" s="2" customFormat="1" x14ac:dyDescent="0.15">
      <c r="M117" s="4"/>
      <c r="N117" s="5"/>
      <c r="O117" s="4"/>
      <c r="P117" s="4"/>
      <c r="Q117" s="4"/>
      <c r="R117" s="4"/>
      <c r="S117" s="4"/>
      <c r="T117" s="4"/>
      <c r="U117" s="5"/>
      <c r="V117" s="5"/>
      <c r="W117" s="5"/>
      <c r="X117" s="5"/>
      <c r="Y117" s="4"/>
      <c r="Z117" s="4"/>
      <c r="AA117" s="4"/>
    </row>
    <row r="118" spans="2:27" s="2" customFormat="1" x14ac:dyDescent="0.15">
      <c r="M118" s="4"/>
      <c r="N118" s="5"/>
      <c r="O118" s="4"/>
      <c r="P118" s="4"/>
      <c r="Q118" s="4"/>
      <c r="R118" s="4"/>
      <c r="S118" s="4"/>
      <c r="T118" s="4"/>
      <c r="U118" s="5"/>
      <c r="V118" s="5"/>
      <c r="W118" s="5"/>
      <c r="X118" s="5"/>
      <c r="Y118" s="4"/>
      <c r="Z118" s="4"/>
      <c r="AA118" s="4"/>
    </row>
    <row r="119" spans="2:27" s="2" customFormat="1" x14ac:dyDescent="0.15">
      <c r="M119" s="4"/>
      <c r="N119" s="5"/>
      <c r="O119" s="4"/>
      <c r="P119" s="4"/>
      <c r="Q119" s="4"/>
      <c r="R119" s="4"/>
      <c r="S119" s="4"/>
      <c r="T119" s="4"/>
      <c r="U119" s="5"/>
      <c r="V119" s="5"/>
      <c r="W119" s="5"/>
      <c r="X119" s="5"/>
      <c r="Y119" s="4"/>
      <c r="Z119" s="4"/>
      <c r="AA119" s="4"/>
    </row>
    <row r="120" spans="2:27" s="2" customFormat="1" x14ac:dyDescent="0.15">
      <c r="M120" s="4"/>
      <c r="N120" s="5"/>
      <c r="O120" s="4"/>
      <c r="P120" s="4"/>
      <c r="Q120" s="4"/>
      <c r="R120" s="4"/>
      <c r="S120" s="4"/>
      <c r="T120" s="4"/>
      <c r="U120" s="5"/>
      <c r="V120" s="5"/>
      <c r="W120" s="5"/>
      <c r="X120" s="5"/>
      <c r="Y120" s="4"/>
      <c r="Z120" s="4"/>
      <c r="AA120" s="4"/>
    </row>
    <row r="121" spans="2:27" s="2" customFormat="1" x14ac:dyDescent="0.15">
      <c r="M121" s="4"/>
      <c r="N121" s="5"/>
      <c r="O121" s="4"/>
      <c r="P121" s="4"/>
      <c r="Q121" s="4"/>
      <c r="R121" s="4"/>
      <c r="S121" s="4"/>
      <c r="T121" s="4"/>
      <c r="U121" s="5"/>
      <c r="V121" s="5"/>
      <c r="W121" s="5"/>
      <c r="X121" s="5"/>
      <c r="Y121" s="4"/>
      <c r="Z121" s="4"/>
      <c r="AA121" s="4"/>
    </row>
    <row r="122" spans="2:27" s="2" customFormat="1" x14ac:dyDescent="0.15">
      <c r="M122" s="4"/>
      <c r="N122" s="5"/>
      <c r="O122" s="4"/>
      <c r="P122" s="4"/>
      <c r="Q122" s="4"/>
      <c r="R122" s="4"/>
      <c r="S122" s="4"/>
      <c r="T122" s="4"/>
      <c r="U122" s="5"/>
      <c r="V122" s="5"/>
      <c r="W122" s="5"/>
      <c r="X122" s="5"/>
      <c r="Y122" s="4"/>
      <c r="Z122" s="4"/>
      <c r="AA122" s="4"/>
    </row>
    <row r="123" spans="2:27" s="2" customFormat="1" x14ac:dyDescent="0.15">
      <c r="M123" s="4"/>
      <c r="N123" s="5"/>
      <c r="O123" s="4"/>
      <c r="P123" s="4"/>
      <c r="Q123" s="4"/>
      <c r="R123" s="4"/>
      <c r="S123" s="4"/>
      <c r="T123" s="4"/>
      <c r="U123" s="5"/>
      <c r="V123" s="5"/>
      <c r="W123" s="5"/>
      <c r="X123" s="5"/>
      <c r="Y123" s="4"/>
      <c r="Z123" s="4"/>
      <c r="AA123" s="4"/>
    </row>
    <row r="124" spans="2:27" s="2" customFormat="1" x14ac:dyDescent="0.15">
      <c r="M124" s="4"/>
      <c r="N124" s="5"/>
      <c r="O124" s="4"/>
      <c r="P124" s="4"/>
      <c r="Q124" s="4"/>
      <c r="R124" s="4"/>
      <c r="S124" s="4"/>
      <c r="T124" s="4"/>
      <c r="U124" s="5"/>
      <c r="V124" s="5"/>
      <c r="W124" s="5"/>
      <c r="X124" s="5"/>
      <c r="Y124" s="4"/>
      <c r="Z124" s="4"/>
      <c r="AA124" s="4"/>
    </row>
    <row r="125" spans="2:27" s="2" customFormat="1" x14ac:dyDescent="0.15">
      <c r="M125" s="4"/>
      <c r="N125" s="5"/>
      <c r="O125" s="4"/>
      <c r="P125" s="4"/>
      <c r="Q125" s="4"/>
      <c r="R125" s="4"/>
      <c r="S125" s="4"/>
      <c r="T125" s="4"/>
      <c r="U125" s="5"/>
      <c r="V125" s="5"/>
      <c r="W125" s="5"/>
      <c r="X125" s="5"/>
      <c r="Y125" s="4"/>
      <c r="Z125" s="4"/>
      <c r="AA125" s="4"/>
    </row>
    <row r="126" spans="2:27" s="2" customFormat="1" x14ac:dyDescent="0.15">
      <c r="M126" s="4"/>
      <c r="N126" s="5"/>
      <c r="O126" s="4"/>
      <c r="P126" s="4"/>
      <c r="Q126" s="4"/>
      <c r="R126" s="4"/>
      <c r="S126" s="4"/>
      <c r="T126" s="4"/>
      <c r="U126" s="5"/>
      <c r="V126" s="5"/>
      <c r="W126" s="5"/>
      <c r="X126" s="5"/>
      <c r="Y126" s="4"/>
      <c r="Z126" s="4"/>
      <c r="AA126" s="4"/>
    </row>
    <row r="127" spans="2:27" s="2" customFormat="1" x14ac:dyDescent="0.15">
      <c r="B127" s="266" t="s">
        <v>318</v>
      </c>
      <c r="C127" s="267"/>
      <c r="D127" s="267"/>
      <c r="E127" s="267"/>
      <c r="F127" s="267"/>
      <c r="M127" s="4"/>
      <c r="N127" s="5"/>
      <c r="O127" s="4"/>
      <c r="P127" s="4"/>
      <c r="Q127" s="4"/>
      <c r="R127" s="4"/>
      <c r="S127" s="4"/>
      <c r="T127" s="4"/>
      <c r="U127" s="5"/>
      <c r="V127" s="5"/>
      <c r="W127" s="5"/>
      <c r="X127" s="5"/>
      <c r="Y127" s="4"/>
      <c r="Z127" s="4"/>
      <c r="AA127" s="4"/>
    </row>
    <row r="128" spans="2:27" s="2" customFormat="1" x14ac:dyDescent="0.15">
      <c r="B128" s="267"/>
      <c r="C128" s="267"/>
      <c r="D128" s="267"/>
      <c r="E128" s="267"/>
      <c r="F128" s="267"/>
      <c r="M128" s="4"/>
      <c r="N128" s="5"/>
      <c r="O128" s="4"/>
      <c r="P128" s="4"/>
      <c r="Q128" s="4"/>
      <c r="R128" s="4"/>
      <c r="S128" s="4"/>
      <c r="T128" s="4"/>
      <c r="U128" s="5"/>
      <c r="V128" s="5"/>
      <c r="W128" s="5"/>
      <c r="X128" s="5"/>
      <c r="Y128" s="4"/>
      <c r="Z128" s="4"/>
      <c r="AA128" s="4"/>
    </row>
    <row r="129" spans="2:27" s="2" customFormat="1" x14ac:dyDescent="0.15">
      <c r="B129" s="267"/>
      <c r="C129" s="267"/>
      <c r="D129" s="267"/>
      <c r="E129" s="267"/>
      <c r="F129" s="267"/>
      <c r="M129" s="4"/>
      <c r="N129" s="5"/>
      <c r="O129" s="4"/>
      <c r="P129" s="4"/>
      <c r="Q129" s="4"/>
      <c r="R129" s="4"/>
      <c r="S129" s="4"/>
      <c r="T129" s="4"/>
      <c r="U129" s="5"/>
      <c r="V129" s="5"/>
      <c r="W129" s="5"/>
      <c r="X129" s="5"/>
      <c r="Y129" s="4"/>
      <c r="Z129" s="4"/>
      <c r="AA129" s="4"/>
    </row>
    <row r="130" spans="2:27" s="2" customFormat="1" x14ac:dyDescent="0.15">
      <c r="B130" s="267"/>
      <c r="C130" s="267"/>
      <c r="D130" s="267"/>
      <c r="E130" s="267"/>
      <c r="F130" s="267"/>
      <c r="M130" s="4"/>
      <c r="N130" s="5"/>
      <c r="O130" s="4"/>
      <c r="P130" s="4"/>
      <c r="Q130" s="4"/>
      <c r="R130" s="4"/>
      <c r="S130" s="4"/>
      <c r="T130" s="4"/>
      <c r="U130" s="5"/>
      <c r="V130" s="5"/>
      <c r="W130" s="5"/>
      <c r="X130" s="5"/>
      <c r="Y130" s="4"/>
      <c r="Z130" s="4"/>
      <c r="AA130" s="4"/>
    </row>
    <row r="131" spans="2:27" s="2" customFormat="1" x14ac:dyDescent="0.15">
      <c r="B131" s="267"/>
      <c r="C131" s="267"/>
      <c r="D131" s="267"/>
      <c r="E131" s="267"/>
      <c r="F131" s="267"/>
      <c r="M131" s="4"/>
      <c r="N131" s="5"/>
      <c r="O131" s="4"/>
      <c r="P131" s="4"/>
      <c r="Q131" s="4"/>
      <c r="R131" s="4"/>
      <c r="S131" s="4"/>
      <c r="T131" s="4"/>
      <c r="U131" s="5"/>
      <c r="V131" s="5"/>
      <c r="W131" s="5"/>
      <c r="X131" s="5"/>
      <c r="Y131" s="4"/>
      <c r="Z131" s="4"/>
      <c r="AA131" s="4"/>
    </row>
    <row r="132" spans="2:27" s="2" customFormat="1" x14ac:dyDescent="0.15">
      <c r="B132" s="267"/>
      <c r="C132" s="267"/>
      <c r="D132" s="267"/>
      <c r="E132" s="267"/>
      <c r="F132" s="267"/>
      <c r="M132" s="4"/>
      <c r="N132" s="5"/>
      <c r="O132" s="4"/>
      <c r="P132" s="4"/>
      <c r="Q132" s="4"/>
      <c r="R132" s="4"/>
      <c r="S132" s="4"/>
      <c r="T132" s="4"/>
      <c r="U132" s="5"/>
      <c r="V132" s="5"/>
      <c r="W132" s="5"/>
      <c r="X132" s="5"/>
      <c r="Y132" s="4"/>
      <c r="Z132" s="4"/>
      <c r="AA132" s="4"/>
    </row>
    <row r="133" spans="2:27" s="2" customFormat="1" ht="42" customHeight="1" x14ac:dyDescent="0.15">
      <c r="B133" s="267"/>
      <c r="C133" s="267"/>
      <c r="D133" s="267"/>
      <c r="E133" s="267"/>
      <c r="F133" s="267"/>
      <c r="M133" s="4"/>
      <c r="N133" s="5"/>
      <c r="O133" s="4"/>
      <c r="P133" s="4"/>
      <c r="Q133" s="4"/>
      <c r="R133" s="4"/>
      <c r="S133" s="4"/>
      <c r="T133" s="4"/>
      <c r="U133" s="5"/>
      <c r="V133" s="5"/>
      <c r="W133" s="5"/>
      <c r="X133" s="5"/>
      <c r="Y133" s="4"/>
      <c r="Z133" s="4"/>
      <c r="AA133" s="4"/>
    </row>
    <row r="134" spans="2:27" s="2" customFormat="1" x14ac:dyDescent="0.15">
      <c r="B134" s="267"/>
      <c r="C134" s="267"/>
      <c r="D134" s="267"/>
      <c r="E134" s="267"/>
      <c r="F134" s="267"/>
      <c r="M134" s="4"/>
      <c r="N134" s="5"/>
      <c r="O134" s="4"/>
      <c r="P134" s="4"/>
      <c r="Q134" s="4"/>
      <c r="R134" s="4"/>
      <c r="S134" s="4"/>
      <c r="T134" s="4"/>
      <c r="U134" s="5"/>
      <c r="V134" s="5"/>
      <c r="W134" s="5"/>
      <c r="X134" s="5"/>
      <c r="Y134" s="4"/>
      <c r="Z134" s="4"/>
      <c r="AA134" s="4"/>
    </row>
    <row r="135" spans="2:27" s="2" customFormat="1" x14ac:dyDescent="0.15">
      <c r="B135" s="267"/>
      <c r="C135" s="267"/>
      <c r="D135" s="267"/>
      <c r="E135" s="267"/>
      <c r="F135" s="267"/>
      <c r="M135" s="4"/>
      <c r="N135" s="5"/>
      <c r="O135" s="4"/>
      <c r="P135" s="4"/>
      <c r="Q135" s="4"/>
      <c r="R135" s="4"/>
      <c r="S135" s="4"/>
      <c r="T135" s="4"/>
      <c r="U135" s="5"/>
      <c r="V135" s="5"/>
      <c r="W135" s="5"/>
      <c r="X135" s="5"/>
      <c r="Y135" s="4"/>
      <c r="Z135" s="4"/>
      <c r="AA135" s="4"/>
    </row>
    <row r="136" spans="2:27" s="2" customFormat="1" ht="39.950000000000003" customHeight="1" x14ac:dyDescent="0.15">
      <c r="B136" s="267"/>
      <c r="C136" s="267"/>
      <c r="D136" s="267"/>
      <c r="E136" s="267"/>
      <c r="F136" s="267"/>
      <c r="M136" s="4"/>
      <c r="N136" s="5"/>
      <c r="O136" s="4"/>
      <c r="P136" s="4"/>
      <c r="Q136" s="4"/>
      <c r="R136" s="4"/>
      <c r="S136" s="4"/>
      <c r="T136" s="4"/>
      <c r="U136" s="5"/>
      <c r="V136" s="5"/>
      <c r="W136" s="5"/>
      <c r="X136" s="5"/>
      <c r="Y136" s="4"/>
      <c r="Z136" s="4"/>
      <c r="AA136" s="4"/>
    </row>
    <row r="137" spans="2:27" s="2" customFormat="1" x14ac:dyDescent="0.15">
      <c r="B137" s="267"/>
      <c r="C137" s="267"/>
      <c r="D137" s="267"/>
      <c r="E137" s="267"/>
      <c r="F137" s="267"/>
      <c r="M137" s="4"/>
      <c r="N137" s="5"/>
      <c r="O137" s="4"/>
      <c r="P137" s="4"/>
      <c r="Q137" s="4"/>
      <c r="R137" s="4"/>
      <c r="S137" s="4"/>
      <c r="T137" s="4"/>
      <c r="U137" s="5"/>
      <c r="V137" s="5"/>
      <c r="W137" s="5"/>
      <c r="X137" s="5"/>
      <c r="Y137" s="4"/>
      <c r="Z137" s="4"/>
      <c r="AA137" s="4"/>
    </row>
    <row r="138" spans="2:27" s="2" customFormat="1" x14ac:dyDescent="0.15">
      <c r="B138" s="267"/>
      <c r="C138" s="267"/>
      <c r="D138" s="267"/>
      <c r="E138" s="267"/>
      <c r="F138" s="267"/>
      <c r="M138" s="4"/>
      <c r="N138" s="5"/>
      <c r="O138" s="4"/>
      <c r="P138" s="4"/>
      <c r="Q138" s="4"/>
      <c r="R138" s="4"/>
      <c r="S138" s="4"/>
      <c r="T138" s="4"/>
      <c r="U138" s="5"/>
      <c r="V138" s="5"/>
      <c r="W138" s="5"/>
      <c r="X138" s="5"/>
      <c r="Y138" s="4"/>
      <c r="Z138" s="4"/>
      <c r="AA138" s="4"/>
    </row>
    <row r="139" spans="2:27" s="2" customFormat="1" x14ac:dyDescent="0.15">
      <c r="B139" s="267"/>
      <c r="C139" s="267"/>
      <c r="D139" s="267"/>
      <c r="E139" s="267"/>
      <c r="F139" s="267"/>
      <c r="M139" s="4"/>
      <c r="N139" s="5"/>
      <c r="O139" s="4"/>
      <c r="P139" s="4"/>
      <c r="Q139" s="4"/>
      <c r="R139" s="4"/>
      <c r="S139" s="4"/>
      <c r="T139" s="4"/>
      <c r="U139" s="5"/>
      <c r="V139" s="5"/>
      <c r="W139" s="5"/>
      <c r="X139" s="5"/>
      <c r="Y139" s="4"/>
      <c r="Z139" s="4"/>
      <c r="AA139" s="4"/>
    </row>
    <row r="140" spans="2:27" s="2" customFormat="1" x14ac:dyDescent="0.15">
      <c r="B140" s="267"/>
      <c r="C140" s="267"/>
      <c r="D140" s="267"/>
      <c r="E140" s="267"/>
      <c r="F140" s="267"/>
      <c r="M140" s="4"/>
      <c r="N140" s="5"/>
      <c r="O140" s="4"/>
      <c r="P140" s="4"/>
      <c r="Q140" s="4"/>
      <c r="R140" s="4"/>
      <c r="S140" s="4"/>
      <c r="T140" s="4"/>
      <c r="U140" s="5"/>
      <c r="V140" s="5"/>
      <c r="W140" s="5"/>
      <c r="X140" s="5"/>
      <c r="Y140" s="4"/>
      <c r="Z140" s="4"/>
      <c r="AA140" s="4"/>
    </row>
    <row r="141" spans="2:27" s="2" customFormat="1" x14ac:dyDescent="0.15">
      <c r="M141" s="4"/>
      <c r="N141" s="5"/>
      <c r="O141" s="4"/>
      <c r="P141" s="4"/>
      <c r="Q141" s="4"/>
      <c r="R141" s="4"/>
      <c r="S141" s="4"/>
      <c r="T141" s="4"/>
      <c r="U141" s="5"/>
      <c r="V141" s="5"/>
      <c r="W141" s="5"/>
      <c r="X141" s="5"/>
      <c r="Y141" s="4"/>
      <c r="Z141" s="4"/>
      <c r="AA141" s="4"/>
    </row>
    <row r="142" spans="2:27" s="2" customFormat="1" x14ac:dyDescent="0.15">
      <c r="M142" s="4"/>
      <c r="N142" s="5"/>
      <c r="O142" s="4"/>
      <c r="P142" s="4"/>
      <c r="Q142" s="4"/>
      <c r="R142" s="4"/>
      <c r="S142" s="4"/>
      <c r="T142" s="4"/>
      <c r="U142" s="5"/>
      <c r="V142" s="5"/>
      <c r="W142" s="5"/>
      <c r="X142" s="5"/>
      <c r="Y142" s="4"/>
      <c r="Z142" s="4"/>
      <c r="AA142" s="4"/>
    </row>
    <row r="143" spans="2:27" s="2" customFormat="1" x14ac:dyDescent="0.15">
      <c r="M143" s="4"/>
      <c r="N143" s="5"/>
      <c r="O143" s="4"/>
      <c r="P143" s="4"/>
      <c r="Q143" s="4"/>
      <c r="R143" s="4"/>
      <c r="S143" s="4"/>
      <c r="T143" s="4"/>
      <c r="U143" s="5"/>
      <c r="V143" s="5"/>
      <c r="W143" s="5"/>
      <c r="X143" s="5"/>
      <c r="Y143" s="4"/>
      <c r="Z143" s="4"/>
      <c r="AA143" s="4"/>
    </row>
    <row r="144" spans="2:27" s="2" customFormat="1" x14ac:dyDescent="0.15">
      <c r="M144" s="4"/>
      <c r="N144" s="5"/>
      <c r="O144" s="4"/>
      <c r="P144" s="4"/>
      <c r="Q144" s="4"/>
      <c r="R144" s="4"/>
      <c r="S144" s="4"/>
      <c r="T144" s="4"/>
      <c r="U144" s="5"/>
      <c r="V144" s="5"/>
      <c r="W144" s="5"/>
      <c r="X144" s="5"/>
      <c r="Y144" s="4"/>
      <c r="Z144" s="4"/>
      <c r="AA144" s="4"/>
    </row>
    <row r="145" spans="13:27" s="2" customFormat="1" x14ac:dyDescent="0.15">
      <c r="M145" s="4"/>
      <c r="N145" s="5"/>
      <c r="O145" s="4"/>
      <c r="P145" s="4"/>
      <c r="Q145" s="4"/>
      <c r="R145" s="4"/>
      <c r="S145" s="4"/>
      <c r="T145" s="4"/>
      <c r="U145" s="5"/>
      <c r="V145" s="5"/>
      <c r="W145" s="5"/>
      <c r="X145" s="5"/>
      <c r="Y145" s="4"/>
      <c r="Z145" s="4"/>
      <c r="AA145" s="4"/>
    </row>
    <row r="146" spans="13:27" s="2" customFormat="1" x14ac:dyDescent="0.15">
      <c r="M146" s="4"/>
      <c r="N146" s="5"/>
      <c r="O146" s="4"/>
      <c r="P146" s="4"/>
      <c r="Q146" s="4"/>
      <c r="R146" s="4"/>
      <c r="S146" s="4"/>
      <c r="T146" s="4"/>
      <c r="U146" s="5"/>
      <c r="V146" s="5"/>
      <c r="W146" s="5"/>
      <c r="X146" s="5"/>
      <c r="Y146" s="4"/>
      <c r="Z146" s="4"/>
      <c r="AA146" s="4"/>
    </row>
    <row r="147" spans="13:27" s="2" customFormat="1" x14ac:dyDescent="0.15">
      <c r="M147" s="4"/>
      <c r="N147" s="5"/>
      <c r="O147" s="4"/>
      <c r="P147" s="4"/>
      <c r="Q147" s="4"/>
      <c r="R147" s="4"/>
      <c r="S147" s="4"/>
      <c r="T147" s="4"/>
      <c r="U147" s="5"/>
      <c r="V147" s="5"/>
      <c r="W147" s="5"/>
      <c r="X147" s="5"/>
      <c r="Y147" s="4"/>
      <c r="Z147" s="4"/>
      <c r="AA147" s="4"/>
    </row>
    <row r="148" spans="13:27" s="2" customFormat="1" x14ac:dyDescent="0.15">
      <c r="M148" s="4"/>
      <c r="N148" s="5"/>
      <c r="O148" s="4"/>
      <c r="P148" s="4"/>
      <c r="Q148" s="4"/>
      <c r="R148" s="4"/>
      <c r="S148" s="4"/>
      <c r="T148" s="4"/>
      <c r="U148" s="5"/>
      <c r="V148" s="5"/>
      <c r="W148" s="5"/>
      <c r="X148" s="5"/>
      <c r="Y148" s="4"/>
      <c r="Z148" s="4"/>
      <c r="AA148" s="4"/>
    </row>
    <row r="149" spans="13:27" s="2" customFormat="1" x14ac:dyDescent="0.15">
      <c r="M149" s="4"/>
      <c r="N149" s="5"/>
      <c r="O149" s="4"/>
      <c r="P149" s="4"/>
      <c r="Q149" s="4"/>
      <c r="R149" s="4"/>
      <c r="S149" s="4"/>
      <c r="T149" s="4"/>
      <c r="U149" s="5"/>
      <c r="V149" s="5"/>
      <c r="W149" s="5"/>
      <c r="X149" s="5"/>
      <c r="Y149" s="4"/>
      <c r="Z149" s="4"/>
      <c r="AA149" s="4"/>
    </row>
    <row r="150" spans="13:27" s="2" customFormat="1" x14ac:dyDescent="0.15">
      <c r="M150" s="4"/>
      <c r="N150" s="5"/>
      <c r="O150" s="4"/>
      <c r="P150" s="4"/>
      <c r="Q150" s="4"/>
      <c r="R150" s="4"/>
      <c r="S150" s="4"/>
      <c r="T150" s="4"/>
      <c r="U150" s="5"/>
      <c r="V150" s="5"/>
      <c r="W150" s="5"/>
      <c r="X150" s="5"/>
      <c r="Y150" s="4"/>
      <c r="Z150" s="4"/>
      <c r="AA150" s="4"/>
    </row>
    <row r="151" spans="13:27" s="2" customFormat="1" x14ac:dyDescent="0.15">
      <c r="M151" s="4"/>
      <c r="N151" s="5"/>
      <c r="O151" s="4"/>
      <c r="P151" s="4"/>
      <c r="Q151" s="4"/>
      <c r="R151" s="4"/>
      <c r="S151" s="4"/>
      <c r="T151" s="4"/>
      <c r="U151" s="5"/>
      <c r="V151" s="5"/>
      <c r="W151" s="5"/>
      <c r="X151" s="5"/>
      <c r="Y151" s="4"/>
      <c r="Z151" s="4"/>
      <c r="AA151" s="4"/>
    </row>
    <row r="152" spans="13:27" s="2" customFormat="1" x14ac:dyDescent="0.15">
      <c r="M152" s="4"/>
      <c r="N152" s="5"/>
      <c r="O152" s="4"/>
      <c r="P152" s="4"/>
      <c r="Q152" s="4"/>
      <c r="R152" s="4"/>
      <c r="S152" s="4"/>
      <c r="T152" s="4"/>
      <c r="U152" s="5"/>
      <c r="V152" s="5"/>
      <c r="W152" s="5"/>
      <c r="X152" s="5"/>
      <c r="Y152" s="4"/>
      <c r="Z152" s="4"/>
      <c r="AA152" s="4"/>
    </row>
    <row r="153" spans="13:27" s="2" customFormat="1" x14ac:dyDescent="0.15">
      <c r="M153" s="4"/>
      <c r="N153" s="5"/>
      <c r="O153" s="4"/>
      <c r="P153" s="4"/>
      <c r="Q153" s="4"/>
      <c r="R153" s="4"/>
      <c r="S153" s="4"/>
      <c r="T153" s="4"/>
      <c r="U153" s="5"/>
      <c r="V153" s="5"/>
      <c r="W153" s="5"/>
      <c r="X153" s="5"/>
      <c r="Y153" s="4"/>
      <c r="Z153" s="4"/>
      <c r="AA153" s="4"/>
    </row>
    <row r="154" spans="13:27" s="2" customFormat="1" x14ac:dyDescent="0.15">
      <c r="M154" s="4"/>
      <c r="N154" s="5"/>
      <c r="O154" s="4"/>
      <c r="P154" s="4"/>
      <c r="Q154" s="4"/>
      <c r="R154" s="4"/>
      <c r="S154" s="4"/>
      <c r="T154" s="4"/>
      <c r="U154" s="5"/>
      <c r="V154" s="5"/>
      <c r="W154" s="5"/>
      <c r="X154" s="5"/>
      <c r="Y154" s="4"/>
      <c r="Z154" s="4"/>
      <c r="AA154" s="4"/>
    </row>
    <row r="155" spans="13:27" s="2" customFormat="1" x14ac:dyDescent="0.15">
      <c r="M155" s="4"/>
      <c r="N155" s="5"/>
      <c r="O155" s="4"/>
      <c r="P155" s="4"/>
      <c r="Q155" s="4"/>
      <c r="R155" s="4"/>
      <c r="S155" s="4"/>
      <c r="T155" s="4"/>
      <c r="U155" s="5"/>
      <c r="V155" s="5"/>
      <c r="W155" s="5"/>
      <c r="X155" s="5"/>
      <c r="Y155" s="4"/>
      <c r="Z155" s="4"/>
      <c r="AA155" s="4"/>
    </row>
    <row r="156" spans="13:27" s="2" customFormat="1" x14ac:dyDescent="0.15">
      <c r="M156" s="4"/>
      <c r="N156" s="5"/>
      <c r="O156" s="4"/>
      <c r="P156" s="4"/>
      <c r="Q156" s="4"/>
      <c r="R156" s="4"/>
      <c r="S156" s="4"/>
      <c r="T156" s="4"/>
      <c r="U156" s="5"/>
      <c r="V156" s="5"/>
      <c r="W156" s="5"/>
      <c r="X156" s="5"/>
      <c r="Y156" s="4"/>
      <c r="Z156" s="4"/>
      <c r="AA156" s="4"/>
    </row>
    <row r="157" spans="13:27" s="2" customFormat="1" x14ac:dyDescent="0.15">
      <c r="M157" s="4"/>
      <c r="N157" s="5"/>
      <c r="O157" s="4"/>
      <c r="P157" s="4"/>
      <c r="Q157" s="4"/>
      <c r="R157" s="4"/>
      <c r="S157" s="4"/>
      <c r="T157" s="4"/>
      <c r="U157" s="5"/>
      <c r="V157" s="5"/>
      <c r="W157" s="5"/>
      <c r="X157" s="5"/>
      <c r="Y157" s="4"/>
      <c r="Z157" s="4"/>
      <c r="AA157" s="4"/>
    </row>
    <row r="158" spans="13:27" s="2" customFormat="1" x14ac:dyDescent="0.15">
      <c r="M158" s="4"/>
      <c r="N158" s="5"/>
      <c r="O158" s="4"/>
      <c r="P158" s="4"/>
      <c r="Q158" s="4"/>
      <c r="R158" s="4"/>
      <c r="S158" s="4"/>
      <c r="T158" s="4"/>
      <c r="U158" s="5"/>
      <c r="V158" s="5"/>
      <c r="W158" s="5"/>
      <c r="X158" s="5"/>
      <c r="Y158" s="4"/>
      <c r="Z158" s="4"/>
      <c r="AA158" s="4"/>
    </row>
  </sheetData>
  <mergeCells count="9">
    <mergeCell ref="T29:AC44"/>
    <mergeCell ref="T46:AC54"/>
    <mergeCell ref="B2:I2"/>
    <mergeCell ref="B59:G83"/>
    <mergeCell ref="B84:G106"/>
    <mergeCell ref="B127:F140"/>
    <mergeCell ref="B41:G58"/>
    <mergeCell ref="B28:G39"/>
    <mergeCell ref="B3:L27"/>
  </mergeCells>
  <phoneticPr fontId="39" type="noConversion"/>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50</vt:i4>
      </vt:variant>
    </vt:vector>
  </HeadingPairs>
  <TitlesOfParts>
    <vt:vector size="53" baseType="lpstr">
      <vt:lpstr>Ｐ－Ｑ图分析</vt:lpstr>
      <vt:lpstr>压铸机、合金参考资料</vt:lpstr>
      <vt:lpstr>学习资料</vt:lpstr>
      <vt:lpstr>'Ｐ－Ｑ图分析'!Print_Area</vt:lpstr>
      <vt:lpstr>压铸机、合金参考资料!Print_Area</vt:lpstr>
      <vt:lpstr>工作点充型流量</vt:lpstr>
      <vt:lpstr>工作点充型时间</vt:lpstr>
      <vt:lpstr>工作点充型速度</vt:lpstr>
      <vt:lpstr>工作点充型压力</vt:lpstr>
      <vt:lpstr>浇口厚度</vt:lpstr>
      <vt:lpstr>浇口宽度_单腔</vt:lpstr>
      <vt:lpstr>浇口面积_实际</vt:lpstr>
      <vt:lpstr>浇口面积_有效</vt:lpstr>
      <vt:lpstr>浇口系数</vt:lpstr>
      <vt:lpstr>浇注体积</vt:lpstr>
      <vt:lpstr>浇注重量</vt:lpstr>
      <vt:lpstr>流动角</vt:lpstr>
      <vt:lpstr>流量系数</vt:lpstr>
      <vt:lpstr>名义冲头面积</vt:lpstr>
      <vt:lpstr>名义冲头直径</vt:lpstr>
      <vt:lpstr>名义快压蓄能器压力</vt:lpstr>
      <vt:lpstr>名义最大冲头速度</vt:lpstr>
      <vt:lpstr>名义最大充型流量</vt:lpstr>
      <vt:lpstr>名义最大充型压力</vt:lpstr>
      <vt:lpstr>设定冲头面积</vt:lpstr>
      <vt:lpstr>设定冲头直径</vt:lpstr>
      <vt:lpstr>设定空压射冲头速度</vt:lpstr>
      <vt:lpstr>设定空压射充型流量</vt:lpstr>
      <vt:lpstr>设定快压蓄能器压力</vt:lpstr>
      <vt:lpstr>设定增压压力</vt:lpstr>
      <vt:lpstr>设定最大充型压力</vt:lpstr>
      <vt:lpstr>设置压射速度</vt:lpstr>
      <vt:lpstr>所需增压比压</vt:lpstr>
      <vt:lpstr>填充体积</vt:lpstr>
      <vt:lpstr>填充重量</vt:lpstr>
      <vt:lpstr>型腔数量</vt:lpstr>
      <vt:lpstr>压射缸直径</vt:lpstr>
      <vt:lpstr>压射功率</vt:lpstr>
      <vt:lpstr>压射活塞面积</vt:lpstr>
      <vt:lpstr>压室充满度</vt:lpstr>
      <vt:lpstr>压室长度</vt:lpstr>
      <vt:lpstr>液体密度</vt:lpstr>
      <vt:lpstr>已用功率百分比</vt:lpstr>
      <vt:lpstr>最大功率</vt:lpstr>
      <vt:lpstr>最大期望充型时间</vt:lpstr>
      <vt:lpstr>最大期望充型速度</vt:lpstr>
      <vt:lpstr>最大期望充型压力</vt:lpstr>
      <vt:lpstr>最大期望填充流量</vt:lpstr>
      <vt:lpstr>最大增压压力</vt:lpstr>
      <vt:lpstr>最小期望充型时间</vt:lpstr>
      <vt:lpstr>最小期望充型速度</vt:lpstr>
      <vt:lpstr>最小期望充型压力</vt:lpstr>
      <vt:lpstr>最小期望填充流量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cp:revision>1</cp:revision>
  <dcterms:created xsi:type="dcterms:W3CDTF">2015-11-16T02:09:00Z</dcterms:created>
  <dcterms:modified xsi:type="dcterms:W3CDTF">2024-10-12T05:50:38Z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7AC63948B7FF48179A40395714F18D5A_13</vt:lpwstr>
  </property>
</Properties>
</file>